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821" activeTab="9"/>
  </bookViews>
  <sheets>
    <sheet name="Bảng tra K" sheetId="1" r:id="rId1"/>
    <sheet name="Static part-X" sheetId="2" r:id="rId2"/>
    <sheet name="Static part-Y" sheetId="3" r:id="rId3"/>
    <sheet name="Dynamic- X1" sheetId="4" r:id="rId4"/>
    <sheet name="Dynamic-X2" sheetId="5" r:id="rId5"/>
    <sheet name="Dynamic-X3" sheetId="6" r:id="rId6"/>
    <sheet name="Dynamic-Y1" sheetId="7" r:id="rId7"/>
    <sheet name="Dynamic-Y2" sheetId="8" r:id="rId8"/>
    <sheet name="Dynamic-Y3" sheetId="9" r:id="rId9"/>
    <sheet name="Gió X, Gió Y" sheetId="10" r:id="rId10"/>
  </sheets>
  <externalReferences>
    <externalReference r:id="rId13"/>
  </externalReferences>
  <definedNames>
    <definedName name="A" localSheetId="3">'Dynamic- X1'!#REF!</definedName>
    <definedName name="A" localSheetId="4">'Dynamic-X2'!#REF!</definedName>
    <definedName name="A" localSheetId="5">'Dynamic-X3'!#REF!</definedName>
    <definedName name="A" localSheetId="6">'Dynamic-Y1'!#REF!</definedName>
    <definedName name="A" localSheetId="7">'Dynamic-Y2'!#REF!</definedName>
    <definedName name="A" localSheetId="8">'Dynamic-Y3'!#REF!</definedName>
    <definedName name="A" localSheetId="1">'Static part-X'!#REF!</definedName>
    <definedName name="A" localSheetId="2">'Static part-Y'!#REF!</definedName>
    <definedName name="Bta1X" localSheetId="3">'Dynamic- X1'!#REF!</definedName>
    <definedName name="Bta1X" localSheetId="4">'Dynamic-X2'!#REF!</definedName>
    <definedName name="Bta1X" localSheetId="5">'Dynamic-X3'!#REF!</definedName>
    <definedName name="Bta1X" localSheetId="6">'Dynamic-Y1'!#REF!</definedName>
    <definedName name="Bta1X" localSheetId="7">'Dynamic-Y2'!#REF!</definedName>
    <definedName name="Bta1X" localSheetId="8">'Dynamic-Y3'!#REF!</definedName>
    <definedName name="Bta1X" localSheetId="1">'Static part-X'!#REF!</definedName>
    <definedName name="Bta1X">'Static part-Y'!#REF!</definedName>
    <definedName name="Bta1Y" localSheetId="3">'Dynamic- X1'!$I$18</definedName>
    <definedName name="Bta1Y" localSheetId="4">'Dynamic-X2'!$I$18</definedName>
    <definedName name="Bta1Y" localSheetId="5">'Dynamic-X3'!$I$18</definedName>
    <definedName name="Bta1Y" localSheetId="6">'Dynamic-Y1'!$I$18</definedName>
    <definedName name="Bta1Y" localSheetId="7">'Dynamic-Y2'!$I$18</definedName>
    <definedName name="Bta1Y" localSheetId="8">'Dynamic-Y3'!$I$18</definedName>
    <definedName name="Bta1Y" localSheetId="1">'Static part-X'!#REF!</definedName>
    <definedName name="Bta1Y">'Static part-Y'!#REF!</definedName>
    <definedName name="Bta2X" localSheetId="3">'Dynamic- X1'!$F$18</definedName>
    <definedName name="Bta2X" localSheetId="4">'Dynamic-X2'!$F$18</definedName>
    <definedName name="Bta2X" localSheetId="5">'Dynamic-X3'!$F$18</definedName>
    <definedName name="Bta2X" localSheetId="6">'Dynamic-Y1'!$F$18</definedName>
    <definedName name="Bta2X" localSheetId="7">'Dynamic-Y2'!$F$18</definedName>
    <definedName name="Bta2X" localSheetId="8">'Dynamic-Y3'!$F$18</definedName>
    <definedName name="Bta2X" localSheetId="1">'Static part-X'!#REF!</definedName>
    <definedName name="Bta2X">'Static part-Y'!#REF!</definedName>
    <definedName name="Bta2Y" localSheetId="3">'Dynamic- X1'!$I$19</definedName>
    <definedName name="Bta2Y" localSheetId="4">'Dynamic-X2'!$I$19</definedName>
    <definedName name="Bta2Y" localSheetId="5">'Dynamic-X3'!$I$19</definedName>
    <definedName name="Bta2Y" localSheetId="6">'Dynamic-Y1'!$I$19</definedName>
    <definedName name="Bta2Y" localSheetId="7">'Dynamic-Y2'!$I$19</definedName>
    <definedName name="Bta2Y" localSheetId="8">'Dynamic-Y3'!$I$19</definedName>
    <definedName name="Bta2Y" localSheetId="1">'Static part-X'!#REF!</definedName>
    <definedName name="Bta2Y">'Static part-Y'!#REF!</definedName>
    <definedName name="Bta3X" localSheetId="3">'Dynamic- X1'!$F$19</definedName>
    <definedName name="Bta3X" localSheetId="4">'Dynamic-X2'!$F$19</definedName>
    <definedName name="Bta3X" localSheetId="5">'Dynamic-X3'!$F$19</definedName>
    <definedName name="Bta3X" localSheetId="6">'Dynamic-Y1'!$F$19</definedName>
    <definedName name="Bta3X" localSheetId="7">'Dynamic-Y2'!$F$19</definedName>
    <definedName name="Bta3X" localSheetId="8">'Dynamic-Y3'!$F$19</definedName>
    <definedName name="Bta3X" localSheetId="1">'Static part-X'!#REF!</definedName>
    <definedName name="Bta3X">'Static part-Y'!#REF!</definedName>
    <definedName name="Bta3Y" localSheetId="3">'Dynamic- X1'!#REF!</definedName>
    <definedName name="Bta3Y" localSheetId="4">'Dynamic-X2'!#REF!</definedName>
    <definedName name="Bta3Y" localSheetId="5">'Dynamic-X3'!#REF!</definedName>
    <definedName name="Bta3Y" localSheetId="6">'Dynamic-Y1'!#REF!</definedName>
    <definedName name="Bta3Y" localSheetId="7">'Dynamic-Y2'!#REF!</definedName>
    <definedName name="Bta3Y" localSheetId="8">'Dynamic-Y3'!#REF!</definedName>
    <definedName name="Bta3Y" localSheetId="1">'Static part-X'!#REF!</definedName>
    <definedName name="Bta3Y">'Static part-Y'!#REF!</definedName>
    <definedName name="H" localSheetId="3">'Dynamic- X1'!$D$8</definedName>
    <definedName name="H" localSheetId="4">'Dynamic-X2'!$D$8</definedName>
    <definedName name="H" localSheetId="5">'Dynamic-X3'!$D$8</definedName>
    <definedName name="H" localSheetId="6">'Dynamic-Y1'!$D$8</definedName>
    <definedName name="H" localSheetId="7">'Dynamic-Y2'!$D$8</definedName>
    <definedName name="H" localSheetId="8">'Dynamic-Y3'!$D$8</definedName>
    <definedName name="H" localSheetId="1">'Static part-X'!$D$9</definedName>
    <definedName name="H">'Static part-Y'!$D$9</definedName>
    <definedName name="Kmot" localSheetId="3">'Dynamic- X1'!#REF!</definedName>
    <definedName name="Kmot" localSheetId="4">'Dynamic-X2'!#REF!</definedName>
    <definedName name="Kmot" localSheetId="5">'Dynamic-X3'!#REF!</definedName>
    <definedName name="Kmot" localSheetId="6">'Dynamic-Y1'!#REF!</definedName>
    <definedName name="Kmot" localSheetId="7">'Dynamic-Y2'!#REF!</definedName>
    <definedName name="Kmot" localSheetId="8">'Dynamic-Y3'!#REF!</definedName>
    <definedName name="Kmot" localSheetId="1">'Static part-X'!#REF!</definedName>
    <definedName name="Kmot" localSheetId="2">'Static part-Y'!#REF!</definedName>
    <definedName name="Kphi" localSheetId="3">'Dynamic- X1'!#REF!</definedName>
    <definedName name="Kphi" localSheetId="4">'Dynamic-X2'!#REF!</definedName>
    <definedName name="Kphi" localSheetId="5">'Dynamic-X3'!#REF!</definedName>
    <definedName name="Kphi" localSheetId="6">'Dynamic-Y1'!#REF!</definedName>
    <definedName name="Kphi" localSheetId="7">'Dynamic-Y2'!#REF!</definedName>
    <definedName name="Kphi" localSheetId="8">'Dynamic-Y3'!#REF!</definedName>
    <definedName name="Kphi" localSheetId="1">'Static part-X'!#REF!</definedName>
    <definedName name="Kphi" localSheetId="2">'Static part-Y'!#REF!</definedName>
    <definedName name="Khai" localSheetId="3">'Dynamic- X1'!#REF!</definedName>
    <definedName name="Khai" localSheetId="4">'Dynamic-X2'!#REF!</definedName>
    <definedName name="Khai" localSheetId="5">'Dynamic-X3'!#REF!</definedName>
    <definedName name="Khai" localSheetId="6">'Dynamic-Y1'!#REF!</definedName>
    <definedName name="Khai" localSheetId="7">'Dynamic-Y2'!#REF!</definedName>
    <definedName name="Khai" localSheetId="8">'Dynamic-Y3'!#REF!</definedName>
    <definedName name="Khai" localSheetId="1">'Static part-X'!#REF!</definedName>
    <definedName name="Khai" localSheetId="2">'Static part-Y'!#REF!</definedName>
    <definedName name="n" localSheetId="3">'Dynamic- X1'!$D$10</definedName>
    <definedName name="n" localSheetId="4">'Dynamic-X2'!$D$10</definedName>
    <definedName name="n" localSheetId="5">'Dynamic-X3'!$D$10</definedName>
    <definedName name="n" localSheetId="6">'Dynamic-Y1'!$D$10</definedName>
    <definedName name="n" localSheetId="7">'Dynamic-Y2'!$D$10</definedName>
    <definedName name="n" localSheetId="8">'Dynamic-Y3'!$D$10</definedName>
    <definedName name="n" localSheetId="1">'Static part-X'!$D$11</definedName>
    <definedName name="n" localSheetId="2">'Static part-Y'!$D$11</definedName>
    <definedName name="n">#REF!</definedName>
    <definedName name="_xlnm.Print_Area" localSheetId="3">'Dynamic- X1'!$A$1:$L$44</definedName>
    <definedName name="_xlnm.Print_Area" localSheetId="4">'Dynamic-X2'!$A$1:$L$44</definedName>
    <definedName name="_xlnm.Print_Area" localSheetId="5">'Dynamic-X3'!$A$1:$L$44</definedName>
    <definedName name="_xlnm.Print_Area" localSheetId="6">'Dynamic-Y1'!$A$1:$L$44</definedName>
    <definedName name="_xlnm.Print_Area" localSheetId="7">'Dynamic-Y2'!$A$1:$L$44</definedName>
    <definedName name="_xlnm.Print_Area" localSheetId="8">'Dynamic-Y3'!$A$1:$L$44</definedName>
    <definedName name="_xlnm.Print_Area" localSheetId="9">'Gió X, Gió Y'!$A$1:$M$45</definedName>
    <definedName name="_xlnm.Print_Area" localSheetId="1">'Static part-X'!$A$1:$L$36</definedName>
    <definedName name="zham" localSheetId="3">'Dynamic- X1'!$D$11</definedName>
    <definedName name="zham" localSheetId="4">'Dynamic-X2'!$D$11</definedName>
    <definedName name="zham" localSheetId="5">'Dynamic-X3'!$D$11</definedName>
    <definedName name="zham" localSheetId="6">'Dynamic-Y1'!$D$11</definedName>
    <definedName name="zham" localSheetId="7">'Dynamic-Y2'!$D$11</definedName>
    <definedName name="zham" localSheetId="8">'Dynamic-Y3'!$D$11</definedName>
    <definedName name="zham" localSheetId="1">'Static part-X'!$J$9</definedName>
    <definedName name="zham">'Static part-Y'!$J$9</definedName>
  </definedNames>
  <calcPr fullCalcOnLoad="1"/>
</workbook>
</file>

<file path=xl/sharedStrings.xml><?xml version="1.0" encoding="utf-8"?>
<sst xmlns="http://schemas.openxmlformats.org/spreadsheetml/2006/main" count="456" uniqueCount="135">
  <si>
    <t>I</t>
  </si>
  <si>
    <t>II</t>
  </si>
  <si>
    <t>III</t>
  </si>
  <si>
    <t>m</t>
  </si>
  <si>
    <t>X</t>
  </si>
  <si>
    <r>
      <t>Q</t>
    </r>
    <r>
      <rPr>
        <b/>
        <vertAlign val="subscript"/>
        <sz val="9"/>
        <rFont val=".VnArial"/>
        <family val="2"/>
      </rPr>
      <t>k</t>
    </r>
    <r>
      <rPr>
        <b/>
        <sz val="9"/>
        <rFont val=".VnArial"/>
        <family val="2"/>
      </rPr>
      <t>x</t>
    </r>
    <r>
      <rPr>
        <b/>
        <vertAlign val="subscript"/>
        <sz val="9"/>
        <rFont val=".VnArial"/>
        <family val="2"/>
      </rPr>
      <t>k1</t>
    </r>
  </si>
  <si>
    <r>
      <t>Q</t>
    </r>
    <r>
      <rPr>
        <b/>
        <vertAlign val="subscript"/>
        <sz val="9"/>
        <rFont val=".VnArial"/>
        <family val="2"/>
      </rPr>
      <t>k</t>
    </r>
    <r>
      <rPr>
        <b/>
        <sz val="9"/>
        <rFont val=".VnArial"/>
        <family val="2"/>
      </rPr>
      <t>x</t>
    </r>
    <r>
      <rPr>
        <b/>
        <vertAlign val="superscript"/>
        <sz val="9"/>
        <rFont val=".VnArial"/>
        <family val="2"/>
      </rPr>
      <t>2</t>
    </r>
    <r>
      <rPr>
        <b/>
        <vertAlign val="subscript"/>
        <sz val="9"/>
        <rFont val=".VnArial"/>
        <family val="2"/>
      </rPr>
      <t>k1</t>
    </r>
  </si>
  <si>
    <t>(T.m)</t>
  </si>
  <si>
    <t>(Ton)</t>
  </si>
  <si>
    <t>Phương gió:</t>
  </si>
  <si>
    <t xml:space="preserve"> fL</t>
  </si>
  <si>
    <t>D¹ng ®Þa h×nh</t>
  </si>
  <si>
    <r>
      <t>Z</t>
    </r>
    <r>
      <rPr>
        <vertAlign val="superscript"/>
        <sz val="10"/>
        <rFont val=".VnArial"/>
        <family val="2"/>
      </rPr>
      <t>g</t>
    </r>
    <r>
      <rPr>
        <vertAlign val="subscript"/>
        <sz val="10"/>
        <rFont val=".VnArial"/>
        <family val="2"/>
      </rPr>
      <t>t</t>
    </r>
    <r>
      <rPr>
        <sz val="10"/>
        <rFont val=".VnArial"/>
        <family val="2"/>
      </rPr>
      <t>(m)</t>
    </r>
  </si>
  <si>
    <r>
      <t>m</t>
    </r>
    <r>
      <rPr>
        <vertAlign val="subscript"/>
        <sz val="10"/>
        <rFont val=".VnArial"/>
        <family val="2"/>
      </rPr>
      <t>t</t>
    </r>
  </si>
  <si>
    <t>A</t>
  </si>
  <si>
    <t>B</t>
  </si>
  <si>
    <t>C</t>
  </si>
  <si>
    <t>HÖ sè kÓ ®Õn sù thay ®æi ¸p lùc giã theo ®é cao ®­îc x¸c ®Þnh theo c«ng thøc:</t>
  </si>
  <si>
    <t>D¹ng ®Þa h×nh:</t>
  </si>
  <si>
    <t>Tra b¶ng</t>
  </si>
  <si>
    <t>B¶ng 8- Gi¸ trÞ ¸p lùc giã tiªu chuÈn</t>
  </si>
  <si>
    <t>Vïng ¸p lùc giã</t>
  </si>
  <si>
    <t>IV</t>
  </si>
  <si>
    <t>V</t>
  </si>
  <si>
    <t>B¶ng 4 - B¶ng tra hÖ t­¬ng quan kh«ng gian khi xÐt t­¬ng quan xung vËn tèc giã theo chiÒu cao</t>
  </si>
  <si>
    <t>vµ bÒ réng ®ãn giã, phô thuéc r vµ v</t>
  </si>
  <si>
    <r>
      <t xml:space="preserve">c </t>
    </r>
    <r>
      <rPr>
        <sz val="10"/>
        <color indexed="10"/>
        <rFont val=".VnArial"/>
        <family val="2"/>
      </rPr>
      <t>(m)</t>
    </r>
  </si>
  <si>
    <r>
      <t xml:space="preserve">r </t>
    </r>
    <r>
      <rPr>
        <sz val="10"/>
        <rFont val=".VnArial"/>
        <family val="2"/>
      </rPr>
      <t>(m)</t>
    </r>
  </si>
  <si>
    <t>Néi suy gi¸ tri hÖ sè t­¬ng quan kh«ng gian</t>
  </si>
  <si>
    <r>
      <t>c 1</t>
    </r>
    <r>
      <rPr>
        <sz val="10"/>
        <rFont val=".VnArial"/>
        <family val="2"/>
      </rPr>
      <t>(m)</t>
    </r>
  </si>
  <si>
    <r>
      <t>c 2</t>
    </r>
    <r>
      <rPr>
        <sz val="10"/>
        <rFont val=".VnArial"/>
        <family val="2"/>
      </rPr>
      <t>(m)</t>
    </r>
  </si>
  <si>
    <r>
      <t xml:space="preserve">Vi tri </t>
    </r>
    <r>
      <rPr>
        <sz val="10"/>
        <rFont val="Symbol"/>
        <family val="1"/>
      </rPr>
      <t>c</t>
    </r>
    <r>
      <rPr>
        <sz val="10"/>
        <rFont val=".VnArial"/>
        <family val="2"/>
      </rPr>
      <t>1</t>
    </r>
  </si>
  <si>
    <r>
      <t xml:space="preserve">Noi suy theo </t>
    </r>
    <r>
      <rPr>
        <sz val="10"/>
        <rFont val="Symbol"/>
        <family val="1"/>
      </rPr>
      <t>c</t>
    </r>
  </si>
  <si>
    <r>
      <t xml:space="preserve">c </t>
    </r>
    <r>
      <rPr>
        <sz val="10"/>
        <rFont val=".VnArial"/>
        <family val="2"/>
      </rPr>
      <t>(m)=</t>
    </r>
  </si>
  <si>
    <r>
      <t>r</t>
    </r>
    <r>
      <rPr>
        <sz val="10"/>
        <rFont val=".VnArial"/>
        <family val="2"/>
      </rPr>
      <t>(m)=</t>
    </r>
  </si>
  <si>
    <r>
      <t>r1</t>
    </r>
    <r>
      <rPr>
        <sz val="10"/>
        <rFont val=".VnArial"/>
        <family val="2"/>
      </rPr>
      <t>(m)</t>
    </r>
  </si>
  <si>
    <r>
      <t>r2</t>
    </r>
    <r>
      <rPr>
        <sz val="10"/>
        <rFont val=".VnArial"/>
        <family val="2"/>
      </rPr>
      <t>(m)</t>
    </r>
  </si>
  <si>
    <t>n=</t>
  </si>
  <si>
    <r>
      <t xml:space="preserve">Vi tri </t>
    </r>
    <r>
      <rPr>
        <sz val="10"/>
        <rFont val="Symbol"/>
        <family val="1"/>
      </rPr>
      <t>r</t>
    </r>
    <r>
      <rPr>
        <sz val="10"/>
        <rFont val=".VnArial"/>
        <family val="2"/>
      </rPr>
      <t>1</t>
    </r>
  </si>
  <si>
    <t>Y</t>
  </si>
  <si>
    <t xml:space="preserve"> =&gt;</t>
  </si>
  <si>
    <t>X1</t>
  </si>
  <si>
    <t>X2</t>
  </si>
  <si>
    <t>Y1</t>
  </si>
  <si>
    <t>Y2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</si>
  <si>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</t>
    </r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</si>
  <si>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</t>
    </r>
  </si>
  <si>
    <t>W0 (daN/m2)</t>
  </si>
  <si>
    <r>
      <t>B¶ng 1: §é cao Gradient vµ hÖ sè m</t>
    </r>
    <r>
      <rPr>
        <b/>
        <vertAlign val="subscript"/>
        <sz val="10"/>
        <color indexed="12"/>
        <rFont val=".VnArial"/>
        <family val="2"/>
      </rPr>
      <t>t</t>
    </r>
  </si>
  <si>
    <r>
      <t xml:space="preserve">HÖ sè ¸p lùc ®éng </t>
    </r>
    <r>
      <rPr>
        <b/>
        <sz val="10"/>
        <color indexed="12"/>
        <rFont val="Symbol"/>
        <family val="1"/>
      </rPr>
      <t>z</t>
    </r>
  </si>
  <si>
    <t>English</t>
  </si>
  <si>
    <t>Applied Standard</t>
  </si>
  <si>
    <t>TCVN 2737-1995</t>
  </si>
  <si>
    <t>Direction of wind</t>
  </si>
  <si>
    <t>1. Calculated Data - Số liệu tính toán</t>
  </si>
  <si>
    <t>The height of building, H:</t>
  </si>
  <si>
    <t>The dimension-direction X:</t>
  </si>
  <si>
    <t>The dimension-direction Y:</t>
  </si>
  <si>
    <t>Apportionment:</t>
  </si>
  <si>
    <t>Tophography:</t>
  </si>
  <si>
    <t>Nominal wind pressure, Wo:</t>
  </si>
  <si>
    <t>3. Summarisation of calculation data -Tổng hợp dữ liệu tính toán</t>
  </si>
  <si>
    <t>a. Total moment due to static wind part at building base</t>
  </si>
  <si>
    <t>b. Total shear force due to static wind part .</t>
  </si>
  <si>
    <t>at building base</t>
  </si>
  <si>
    <t>english</t>
  </si>
  <si>
    <t>2. Dynamic analysis result - Kết quả phân tích dao động</t>
  </si>
  <si>
    <t>4. Summarisation of calculation data - Tổng hợp dữ liệu tính toán</t>
  </si>
  <si>
    <t xml:space="preserve">a. Total moment due to dynamic wind part </t>
  </si>
  <si>
    <t>b. Total shear force due to dynamic wind part .</t>
  </si>
  <si>
    <t>stories</t>
  </si>
  <si>
    <t>Levels   (m)</t>
  </si>
  <si>
    <t>Mass  (ton)</t>
  </si>
  <si>
    <t>Stories</t>
  </si>
  <si>
    <t>Levels</t>
  </si>
  <si>
    <t>Storey
Height</t>
  </si>
  <si>
    <t>Height
Factor
k</t>
  </si>
  <si>
    <r>
      <t>Static wind pressure (T/m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</si>
  <si>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Wind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</si>
  <si>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Wind Force (Ton)</t>
  </si>
  <si>
    <t>ward side</t>
  </si>
  <si>
    <t>lee side</t>
  </si>
  <si>
    <t>Total</t>
  </si>
  <si>
    <t>Per each
Diaphram</t>
  </si>
  <si>
    <t xml:space="preserve">Storey
height (m) </t>
  </si>
  <si>
    <t>Mode of vibration</t>
  </si>
  <si>
    <t>Limiting frequency</t>
  </si>
  <si>
    <t>period</t>
  </si>
  <si>
    <t>frequency</t>
  </si>
  <si>
    <r>
      <t>Wind 
area
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</si>
  <si>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y</t>
    </r>
    <r>
      <rPr>
        <sz val="9.9"/>
        <rFont val="Arial"/>
        <family val="2"/>
      </rPr>
      <t>=</t>
    </r>
  </si>
  <si>
    <r>
      <t xml:space="preserve">Dynamic pressure factor
</t>
    </r>
    <r>
      <rPr>
        <sz val="9"/>
        <rFont val="Symbol"/>
        <family val="1"/>
      </rPr>
      <t>zk</t>
    </r>
  </si>
  <si>
    <r>
      <t>Static standard value (T/m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
Wk</t>
    </r>
  </si>
  <si>
    <r>
      <t xml:space="preserve">Space relation factor, </t>
    </r>
    <r>
      <rPr>
        <sz val="9"/>
        <rFont val="Symbol"/>
        <family val="1"/>
      </rPr>
      <t>u</t>
    </r>
    <r>
      <rPr>
        <sz val="10.35"/>
        <rFont val="Arial"/>
        <family val="2"/>
      </rPr>
      <t>:</t>
    </r>
  </si>
  <si>
    <r>
      <t xml:space="preserve">Dynamic factor, </t>
    </r>
    <r>
      <rPr>
        <sz val="9"/>
        <rFont val="Symbol"/>
        <family val="1"/>
      </rPr>
      <t>x:</t>
    </r>
  </si>
  <si>
    <r>
      <t xml:space="preserve">Factor, </t>
    </r>
    <r>
      <rPr>
        <sz val="9"/>
        <rFont val="Symbol"/>
        <family val="1"/>
      </rPr>
      <t>e:</t>
    </r>
  </si>
  <si>
    <r>
      <t xml:space="preserve">Fidelity factor, </t>
    </r>
    <r>
      <rPr>
        <sz val="9"/>
        <rFont val="Symbol"/>
        <family val="1"/>
      </rPr>
      <t>g:</t>
    </r>
  </si>
  <si>
    <r>
      <t xml:space="preserve">Adjustment factor of wind load according to time, </t>
    </r>
    <r>
      <rPr>
        <sz val="9"/>
        <rFont val="Symbol"/>
        <family val="1"/>
      </rPr>
      <t>b:</t>
    </r>
  </si>
  <si>
    <r>
      <t>Dynamic pressure (T/m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</si>
  <si>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Dynamic wind force (Ton)</t>
  </si>
  <si>
    <r>
      <t xml:space="preserve"> Uniform dynamic part (T/m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
W</t>
    </r>
    <r>
      <rPr>
        <sz val="8"/>
        <rFont val="Arial"/>
        <family val="2"/>
      </rPr>
      <t>pk</t>
    </r>
  </si>
  <si>
    <t>Mode 1</t>
  </si>
  <si>
    <t>Static component (Ton)</t>
  </si>
  <si>
    <t>Dynamic component (Ton)</t>
  </si>
  <si>
    <r>
      <t>move-ment
y</t>
    </r>
    <r>
      <rPr>
        <sz val="8"/>
        <rFont val="Arial"/>
        <family val="2"/>
      </rPr>
      <t>k</t>
    </r>
    <r>
      <rPr>
        <sz val="9"/>
        <rFont val="Arial"/>
        <family val="2"/>
      </rPr>
      <t xml:space="preserve">
</t>
    </r>
  </si>
  <si>
    <t>2. Summarisation of total wind load - Tổng hợp dữ liệu tính toán tải trọng gió</t>
  </si>
  <si>
    <t>3. The effect of total wind load - Hiệu ứng của tải trọng gió</t>
  </si>
  <si>
    <t>Per each
Diaphragm</t>
  </si>
  <si>
    <t>Per each
Diaph-ragm</t>
  </si>
  <si>
    <t>2. Calculating of design static component of wind load - Tính toán giá trị gió tĩnh</t>
  </si>
  <si>
    <t>3. Calculation of the dynamic wind component with mode 1- Tính toán giá trị gió động dạng 1</t>
  </si>
  <si>
    <t>3. Calculation of the dynamic wind component with mode 2- Tính toán giá trị gió động dạng 2</t>
  </si>
  <si>
    <t>3. Calculation of the dynamic wind component with mode1- Tính toán giá trị gió động dạng 1</t>
  </si>
  <si>
    <t>(T/m2)</t>
  </si>
  <si>
    <r>
      <t>move-ment
y</t>
    </r>
    <r>
      <rPr>
        <b/>
        <sz val="8"/>
        <rFont val="Arial"/>
        <family val="2"/>
      </rPr>
      <t>k</t>
    </r>
    <r>
      <rPr>
        <b/>
        <sz val="9"/>
        <rFont val="Arial"/>
        <family val="2"/>
      </rPr>
      <t xml:space="preserve">
</t>
    </r>
  </si>
  <si>
    <t>Total wind force (T)</t>
  </si>
  <si>
    <t xml:space="preserve"> X - Y</t>
  </si>
  <si>
    <t>D</t>
  </si>
  <si>
    <t>Mode 2</t>
  </si>
  <si>
    <t>a</t>
  </si>
  <si>
    <t>Mode 3</t>
  </si>
  <si>
    <t>he so dong luc tra bieu do hinh 2 muc 4.5 trang 10 tcvn 229-1999</t>
  </si>
  <si>
    <t>The dynamic component of wind load with mode 1; X direction
Tính toán gió động phương X dạng dao động 1</t>
  </si>
  <si>
    <t>The dynamic component of wind load with mode 2; X direction
Tính toán gió động phương X dạng dao động 2</t>
  </si>
  <si>
    <t>The dynamic component of wind load with mode 1; Y direction
Tính toán gió động phương Y dạng dao động 1</t>
  </si>
  <si>
    <t>Static component of wind load - Y direction
Tính toán gió tĩnh - phương Y</t>
  </si>
  <si>
    <t>Static component of wind load - X direction
Tính toán gió tĩnh - phương X</t>
  </si>
  <si>
    <t>The dynamic component of wind load with mode 2; Y direction
Tính toán gió động phương Y dạng dao động 2</t>
  </si>
  <si>
    <t>Summarisation of total wind load-
Tổng hợp tính toán gió</t>
  </si>
  <si>
    <t>The height of building,    H:</t>
  </si>
  <si>
    <t>Y3</t>
  </si>
  <si>
    <t>X3</t>
  </si>
  <si>
    <t>The dynamic component of wind load with mode 2; X direction
Tính toán gió động phương X dạng dao động 3</t>
  </si>
  <si>
    <t>The dynamic component of wind load with mode 2; Y direction
Tính toán gió động phương Y dạng dao động 3</t>
  </si>
  <si>
    <t>Wind direction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</si>
</sst>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000"/>
    <numFmt numFmtId="165" formatCode="0.000"/>
    <numFmt numFmtId="166" formatCode="0.0"/>
    <numFmt numFmtId="167" formatCode="&quot;Mode&quot;\ 0"/>
    <numFmt numFmtId="168" formatCode="&quot;T1X=&quot;\ 0.00"/>
    <numFmt numFmtId="169" formatCode="&quot;f&quot;0&quot;=&quot;"/>
  </numFmts>
  <fonts count="79">
    <font>
      <sz val="10"/>
      <name val="Arial"/>
      <family val="0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b/>
      <sz val="10"/>
      <name val=".VnArial"/>
      <family val="2"/>
    </font>
    <font>
      <b/>
      <sz val="10"/>
      <name val=".VnArialH"/>
      <family val="2"/>
    </font>
    <font>
      <b/>
      <sz val="12"/>
      <color indexed="12"/>
      <name val="Arial"/>
      <family val="2"/>
    </font>
    <font>
      <sz val="9"/>
      <color indexed="52"/>
      <name val="Arial"/>
      <family val="2"/>
    </font>
    <font>
      <sz val="9"/>
      <name val="Arial"/>
      <family val="2"/>
    </font>
    <font>
      <b/>
      <sz val="9"/>
      <name val=".VnArial"/>
      <family val="2"/>
    </font>
    <font>
      <b/>
      <vertAlign val="subscript"/>
      <sz val="9"/>
      <name val=".VnArial"/>
      <family val="2"/>
    </font>
    <font>
      <sz val="9"/>
      <name val=".VnArial"/>
      <family val="2"/>
    </font>
    <font>
      <b/>
      <vertAlign val="superscript"/>
      <sz val="9"/>
      <name val=".VnArial"/>
      <family val="2"/>
    </font>
    <font>
      <b/>
      <sz val="9"/>
      <name val="Arial"/>
      <family val="2"/>
    </font>
    <font>
      <sz val="9"/>
      <name val="Symbol"/>
      <family val="1"/>
    </font>
    <font>
      <b/>
      <sz val="9"/>
      <name val=".VnArialH"/>
      <family val="2"/>
    </font>
    <font>
      <b/>
      <i/>
      <sz val="9"/>
      <name val="Arial"/>
      <family val="2"/>
    </font>
    <font>
      <sz val="10"/>
      <color indexed="10"/>
      <name val=".VnArial"/>
      <family val="2"/>
    </font>
    <font>
      <vertAlign val="subscript"/>
      <sz val="10"/>
      <name val=".VnArial"/>
      <family val="2"/>
    </font>
    <font>
      <vertAlign val="superscript"/>
      <sz val="10"/>
      <name val=".VnArial"/>
      <family val="2"/>
    </font>
    <font>
      <sz val="10"/>
      <name val="Symbol"/>
      <family val="1"/>
    </font>
    <font>
      <sz val="10"/>
      <color indexed="10"/>
      <name val="Symbol"/>
      <family val="1"/>
    </font>
    <font>
      <b/>
      <sz val="14"/>
      <color indexed="12"/>
      <name val="Arial"/>
      <family val="2"/>
    </font>
    <font>
      <sz val="10.35"/>
      <name val="Arial"/>
      <family val="2"/>
    </font>
    <font>
      <vertAlign val="superscript"/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.VnArial"/>
      <family val="2"/>
    </font>
    <font>
      <b/>
      <sz val="10"/>
      <color indexed="12"/>
      <name val=".VnArial"/>
      <family val="2"/>
    </font>
    <font>
      <b/>
      <vertAlign val="subscript"/>
      <sz val="10"/>
      <color indexed="12"/>
      <name val=".VnArial"/>
      <family val="2"/>
    </font>
    <font>
      <b/>
      <sz val="10"/>
      <color indexed="12"/>
      <name val="Symbol"/>
      <family val="1"/>
    </font>
    <font>
      <sz val="9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sz val="9.9"/>
      <name val="Arial"/>
      <family val="2"/>
    </font>
    <font>
      <b/>
      <sz val="9"/>
      <color indexed="52"/>
      <name val="Arial"/>
      <family val="2"/>
    </font>
    <font>
      <b/>
      <sz val="8"/>
      <name val="Arial"/>
      <family val="2"/>
    </font>
    <font>
      <b/>
      <sz val="10"/>
      <color indexed="10"/>
      <name val=".VnArialH"/>
      <family val="2"/>
    </font>
    <font>
      <sz val="9"/>
      <color indexed="5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 style="thin"/>
      <top style="double"/>
      <bottom style="thin"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/>
      <right style="thin"/>
      <top style="thick"/>
      <bottom style="double"/>
    </border>
    <border>
      <left/>
      <right style="thick"/>
      <top style="thick"/>
      <bottom style="double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67" fontId="6" fillId="33" borderId="0" xfId="0" applyNumberFormat="1" applyFont="1" applyFill="1" applyBorder="1" applyAlignment="1">
      <alignment vertical="center"/>
    </xf>
    <xf numFmtId="169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indent="1"/>
    </xf>
    <xf numFmtId="0" fontId="12" fillId="33" borderId="0" xfId="0" applyFont="1" applyFill="1" applyBorder="1" applyAlignment="1">
      <alignment horizontal="left" vertical="center" indent="1"/>
    </xf>
    <xf numFmtId="0" fontId="15" fillId="33" borderId="0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8" fontId="15" fillId="33" borderId="0" xfId="0" applyNumberFormat="1" applyFont="1" applyFill="1" applyBorder="1" applyAlignment="1">
      <alignment horizontal="center" vertical="center"/>
    </xf>
    <xf numFmtId="167" fontId="12" fillId="33" borderId="12" xfId="0" applyNumberFormat="1" applyFont="1" applyFill="1" applyBorder="1" applyAlignment="1">
      <alignment horizontal="left" vertical="center" indent="1"/>
    </xf>
    <xf numFmtId="0" fontId="12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2" fontId="12" fillId="33" borderId="13" xfId="0" applyNumberFormat="1" applyFont="1" applyFill="1" applyBorder="1" applyAlignment="1">
      <alignment horizontal="center" vertical="center"/>
    </xf>
    <xf numFmtId="169" fontId="13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166" fontId="12" fillId="33" borderId="13" xfId="0" applyNumberFormat="1" applyFont="1" applyFill="1" applyBorder="1" applyAlignment="1">
      <alignment vertical="center"/>
    </xf>
    <xf numFmtId="164" fontId="12" fillId="33" borderId="13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165" fontId="15" fillId="33" borderId="0" xfId="0" applyNumberFormat="1" applyFont="1" applyFill="1" applyBorder="1" applyAlignment="1">
      <alignment horizontal="right" vertical="center"/>
    </xf>
    <xf numFmtId="166" fontId="12" fillId="33" borderId="0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 indent="1"/>
    </xf>
    <xf numFmtId="0" fontId="20" fillId="33" borderId="12" xfId="0" applyFont="1" applyFill="1" applyBorder="1" applyAlignment="1">
      <alignment horizontal="left" vertical="center" indent="1"/>
    </xf>
    <xf numFmtId="166" fontId="12" fillId="33" borderId="0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/>
    </xf>
    <xf numFmtId="166" fontId="12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166" fontId="12" fillId="33" borderId="1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2" fontId="12" fillId="33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34" borderId="20" xfId="0" applyFont="1" applyFill="1" applyBorder="1" applyAlignment="1">
      <alignment/>
    </xf>
    <xf numFmtId="0" fontId="25" fillId="34" borderId="21" xfId="0" applyFont="1" applyFill="1" applyBorder="1" applyAlignment="1">
      <alignment horizontal="centerContinuous"/>
    </xf>
    <xf numFmtId="0" fontId="7" fillId="34" borderId="21" xfId="0" applyFont="1" applyFill="1" applyBorder="1" applyAlignment="1">
      <alignment horizontal="centerContinuous"/>
    </xf>
    <xf numFmtId="0" fontId="7" fillId="34" borderId="22" xfId="0" applyFont="1" applyFill="1" applyBorder="1" applyAlignment="1">
      <alignment horizontal="centerContinuous"/>
    </xf>
    <xf numFmtId="0" fontId="24" fillId="34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3" xfId="0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24" fillId="34" borderId="34" xfId="0" applyNumberFormat="1" applyFont="1" applyFill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24" fillId="35" borderId="40" xfId="0" applyNumberFormat="1" applyFont="1" applyFill="1" applyBorder="1" applyAlignment="1">
      <alignment horizontal="center"/>
    </xf>
    <xf numFmtId="0" fontId="7" fillId="35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24" fillId="36" borderId="40" xfId="0" applyNumberFormat="1" applyFont="1" applyFill="1" applyBorder="1" applyAlignment="1">
      <alignment horizontal="center"/>
    </xf>
    <xf numFmtId="0" fontId="7" fillId="36" borderId="4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167" fontId="12" fillId="33" borderId="13" xfId="0" applyNumberFormat="1" applyFont="1" applyFill="1" applyBorder="1" applyAlignment="1">
      <alignment horizontal="center" vertical="center" wrapText="1"/>
    </xf>
    <xf numFmtId="165" fontId="12" fillId="33" borderId="0" xfId="0" applyNumberFormat="1" applyFont="1" applyFill="1" applyBorder="1" applyAlignment="1">
      <alignment horizontal="center" vertical="center"/>
    </xf>
    <xf numFmtId="165" fontId="7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5" fontId="12" fillId="33" borderId="13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165" fontId="0" fillId="33" borderId="0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2" fillId="33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35" fillId="33" borderId="0" xfId="0" applyFont="1" applyFill="1" applyBorder="1" applyAlignment="1">
      <alignment horizontal="left" vertical="center" indent="1"/>
    </xf>
    <xf numFmtId="0" fontId="35" fillId="33" borderId="0" xfId="0" applyFont="1" applyFill="1" applyBorder="1" applyAlignment="1">
      <alignment vertical="center"/>
    </xf>
    <xf numFmtId="2" fontId="35" fillId="33" borderId="13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6" fillId="33" borderId="44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left" vertical="center" indent="1"/>
    </xf>
    <xf numFmtId="2" fontId="17" fillId="33" borderId="0" xfId="0" applyNumberFormat="1" applyFont="1" applyFill="1" applyBorder="1" applyAlignment="1">
      <alignment horizontal="center" vertical="center"/>
    </xf>
    <xf numFmtId="167" fontId="17" fillId="33" borderId="13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6" fontId="35" fillId="33" borderId="13" xfId="0" applyNumberFormat="1" applyFont="1" applyFill="1" applyBorder="1" applyAlignment="1">
      <alignment horizontal="center" vertical="center"/>
    </xf>
    <xf numFmtId="2" fontId="12" fillId="33" borderId="44" xfId="0" applyNumberFormat="1" applyFont="1" applyFill="1" applyBorder="1" applyAlignment="1">
      <alignment horizontal="center" vertical="center"/>
    </xf>
    <xf numFmtId="2" fontId="37" fillId="33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1" fontId="12" fillId="33" borderId="4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 wrapText="1"/>
    </xf>
    <xf numFmtId="0" fontId="37" fillId="33" borderId="13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vertical="center"/>
    </xf>
    <xf numFmtId="2" fontId="15" fillId="33" borderId="0" xfId="0" applyNumberFormat="1" applyFont="1" applyFill="1" applyBorder="1" applyAlignment="1">
      <alignment horizontal="right" vertical="center"/>
    </xf>
    <xf numFmtId="2" fontId="12" fillId="33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Alignment="1">
      <alignment vertical="center"/>
    </xf>
    <xf numFmtId="2" fontId="0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left" vertical="center" indent="1"/>
    </xf>
    <xf numFmtId="2" fontId="6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/>
    </xf>
    <xf numFmtId="2" fontId="12" fillId="33" borderId="44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17" fillId="33" borderId="44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 horizontal="center"/>
    </xf>
    <xf numFmtId="2" fontId="42" fillId="33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26" fillId="33" borderId="46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vertical="center" wrapText="1"/>
    </xf>
    <xf numFmtId="0" fontId="10" fillId="33" borderId="46" xfId="0" applyFont="1" applyFill="1" applyBorder="1" applyAlignment="1">
      <alignment vertical="center" wrapText="1"/>
    </xf>
    <xf numFmtId="0" fontId="10" fillId="33" borderId="47" xfId="0" applyFont="1" applyFill="1" applyBorder="1" applyAlignment="1">
      <alignment vertical="center" wrapText="1"/>
    </xf>
    <xf numFmtId="0" fontId="36" fillId="33" borderId="46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1" fontId="74" fillId="0" borderId="13" xfId="55" applyNumberFormat="1" applyFill="1" applyBorder="1">
      <alignment/>
      <protection/>
    </xf>
    <xf numFmtId="1" fontId="37" fillId="33" borderId="13" xfId="0" applyNumberFormat="1" applyFont="1" applyFill="1" applyBorder="1" applyAlignment="1">
      <alignment horizontal="center"/>
    </xf>
    <xf numFmtId="1" fontId="37" fillId="33" borderId="0" xfId="0" applyNumberFormat="1" applyFont="1" applyFill="1" applyBorder="1" applyAlignment="1">
      <alignment horizontal="center"/>
    </xf>
    <xf numFmtId="0" fontId="43" fillId="6" borderId="46" xfId="0" applyFont="1" applyFill="1" applyBorder="1" applyAlignment="1">
      <alignment horizontal="center" vertical="center" wrapText="1"/>
    </xf>
    <xf numFmtId="0" fontId="44" fillId="6" borderId="46" xfId="0" applyFont="1" applyFill="1" applyBorder="1" applyAlignment="1">
      <alignment vertical="center"/>
    </xf>
    <xf numFmtId="0" fontId="44" fillId="6" borderId="47" xfId="0" applyFont="1" applyFill="1" applyBorder="1" applyAlignment="1">
      <alignment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vertical="center"/>
    </xf>
    <xf numFmtId="0" fontId="17" fillId="6" borderId="11" xfId="0" applyFont="1" applyFill="1" applyBorder="1" applyAlignment="1">
      <alignment vertical="center"/>
    </xf>
    <xf numFmtId="167" fontId="6" fillId="6" borderId="0" xfId="0" applyNumberFormat="1" applyFont="1" applyFill="1" applyBorder="1" applyAlignment="1">
      <alignment horizontal="center" vertical="center"/>
    </xf>
    <xf numFmtId="169" fontId="8" fillId="6" borderId="0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6" borderId="15" xfId="0" applyNumberFormat="1" applyFont="1" applyFill="1" applyBorder="1" applyAlignment="1">
      <alignment horizontal="center" vertical="center"/>
    </xf>
    <xf numFmtId="166" fontId="0" fillId="6" borderId="19" xfId="0" applyNumberFormat="1" applyFont="1" applyFill="1" applyBorder="1" applyAlignment="1">
      <alignment horizontal="center" vertical="center"/>
    </xf>
    <xf numFmtId="2" fontId="0" fillId="6" borderId="0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 vertical="center"/>
    </xf>
    <xf numFmtId="165" fontId="15" fillId="6" borderId="11" xfId="0" applyNumberFormat="1" applyFont="1" applyFill="1" applyBorder="1" applyAlignment="1">
      <alignment horizontal="center" vertical="center"/>
    </xf>
    <xf numFmtId="166" fontId="12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1" xfId="0" applyFont="1" applyFill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0" fontId="36" fillId="33" borderId="48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14" fontId="0" fillId="33" borderId="0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 wrapText="1"/>
    </xf>
    <xf numFmtId="2" fontId="0" fillId="33" borderId="24" xfId="0" applyNumberFormat="1" applyFont="1" applyFill="1" applyBorder="1" applyAlignment="1">
      <alignment horizontal="center" vertical="center" wrapText="1"/>
    </xf>
    <xf numFmtId="2" fontId="0" fillId="33" borderId="5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 vertical="center"/>
    </xf>
    <xf numFmtId="14" fontId="12" fillId="33" borderId="0" xfId="0" applyNumberFormat="1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center" vertical="center"/>
    </xf>
    <xf numFmtId="165" fontId="12" fillId="33" borderId="0" xfId="0" applyNumberFormat="1" applyFont="1" applyFill="1" applyBorder="1" applyAlignment="1">
      <alignment horizontal="left" vertical="center" indent="1"/>
    </xf>
    <xf numFmtId="0" fontId="35" fillId="33" borderId="1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left" vertical="center" indent="1"/>
    </xf>
    <xf numFmtId="0" fontId="17" fillId="6" borderId="12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43" fillId="6" borderId="48" xfId="0" applyFont="1" applyFill="1" applyBorder="1" applyAlignment="1">
      <alignment horizontal="center" vertical="center" wrapText="1"/>
    </xf>
    <xf numFmtId="0" fontId="43" fillId="6" borderId="4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14" fontId="0" fillId="6" borderId="0" xfId="0" applyNumberFormat="1" applyFont="1" applyFill="1" applyBorder="1" applyAlignment="1">
      <alignment horizontal="center" vertical="center"/>
    </xf>
    <xf numFmtId="14" fontId="0" fillId="6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33</xdr:row>
      <xdr:rowOff>47625</xdr:rowOff>
    </xdr:from>
    <xdr:to>
      <xdr:col>8</xdr:col>
      <xdr:colOff>19050</xdr:colOff>
      <xdr:row>43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b="11009"/>
        <a:stretch>
          <a:fillRect/>
        </a:stretch>
      </xdr:blipFill>
      <xdr:spPr>
        <a:xfrm>
          <a:off x="76200" y="5772150"/>
          <a:ext cx="4591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oi%20Hotel%20-%20Noi%20Luc,%20Tinh%20Toan,%20Ban%20Ve\Excel\Wind%20Load%20(gui%20C.Quyn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HT"/>
      <sheetName val="Start"/>
      <sheetName val="K"/>
      <sheetName val="Gió Tĩnh"/>
      <sheetName val="GD_xvtoc"/>
      <sheetName val="GDx"/>
      <sheetName val="GDy"/>
      <sheetName val="Th"/>
    </sheetNames>
    <sheetDataSet>
      <sheetData sheetId="1">
        <row r="4">
          <cell r="G4">
            <v>0.095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28">
      <selection activeCell="I14" sqref="I14"/>
    </sheetView>
  </sheetViews>
  <sheetFormatPr defaultColWidth="9.140625" defaultRowHeight="12.75"/>
  <cols>
    <col min="1" max="1" width="9.140625" style="62" customWidth="1"/>
    <col min="2" max="2" width="16.7109375" style="62" customWidth="1"/>
    <col min="3" max="3" width="9.140625" style="62" customWidth="1"/>
    <col min="4" max="4" width="9.00390625" style="62" customWidth="1"/>
    <col min="5" max="10" width="9.140625" style="62" customWidth="1"/>
    <col min="11" max="11" width="4.7109375" style="62" customWidth="1"/>
    <col min="12" max="16384" width="9.140625" style="62" customWidth="1"/>
  </cols>
  <sheetData>
    <row r="1" ht="14.25">
      <c r="A1" s="136" t="s">
        <v>48</v>
      </c>
    </row>
    <row r="2" spans="2:8" ht="15.75">
      <c r="B2" s="63" t="s">
        <v>11</v>
      </c>
      <c r="C2" s="63" t="s">
        <v>12</v>
      </c>
      <c r="D2" s="63" t="s">
        <v>13</v>
      </c>
      <c r="H2" s="61"/>
    </row>
    <row r="3" spans="2:4" ht="12.75">
      <c r="B3" s="63" t="s">
        <v>14</v>
      </c>
      <c r="C3" s="63">
        <v>250</v>
      </c>
      <c r="D3" s="63">
        <v>0.07</v>
      </c>
    </row>
    <row r="4" spans="2:4" ht="12.75">
      <c r="B4" s="63" t="s">
        <v>15</v>
      </c>
      <c r="C4" s="63">
        <v>300</v>
      </c>
      <c r="D4" s="63">
        <v>0.09</v>
      </c>
    </row>
    <row r="5" spans="2:4" ht="12.75">
      <c r="B5" s="63" t="s">
        <v>16</v>
      </c>
      <c r="C5" s="63">
        <v>400</v>
      </c>
      <c r="D5" s="63">
        <v>0.14</v>
      </c>
    </row>
    <row r="6" ht="12.75">
      <c r="A6" s="62" t="s">
        <v>17</v>
      </c>
    </row>
    <row r="7" ht="12.75"/>
    <row r="8" ht="12.75"/>
    <row r="9" ht="12.75"/>
    <row r="10" spans="1:5" ht="12.75">
      <c r="A10" s="62" t="s">
        <v>18</v>
      </c>
      <c r="E10" s="169" t="s">
        <v>119</v>
      </c>
    </row>
    <row r="11" spans="1:5" ht="15.75">
      <c r="A11" s="62" t="s">
        <v>19</v>
      </c>
      <c r="D11" s="64" t="s">
        <v>12</v>
      </c>
      <c r="E11" s="62">
        <f>VLOOKUP(E10,B3:D5,2)</f>
        <v>250</v>
      </c>
    </row>
    <row r="12" spans="4:5" ht="14.25">
      <c r="D12" s="64" t="s">
        <v>13</v>
      </c>
      <c r="E12" s="62">
        <f>VLOOKUP(E10,B3:D5,3)</f>
        <v>0.07</v>
      </c>
    </row>
    <row r="13" s="61" customFormat="1" ht="12.75">
      <c r="A13" s="134" t="s">
        <v>20</v>
      </c>
    </row>
    <row r="14" spans="2:7" s="61" customFormat="1" ht="12.75">
      <c r="B14" s="135" t="s">
        <v>21</v>
      </c>
      <c r="C14" s="135" t="s">
        <v>0</v>
      </c>
      <c r="D14" s="135" t="s">
        <v>1</v>
      </c>
      <c r="E14" s="135" t="s">
        <v>2</v>
      </c>
      <c r="F14" s="135" t="s">
        <v>22</v>
      </c>
      <c r="G14" s="135" t="s">
        <v>23</v>
      </c>
    </row>
    <row r="15" spans="2:7" ht="12.75">
      <c r="B15" s="135" t="s">
        <v>47</v>
      </c>
      <c r="C15" s="135">
        <v>65</v>
      </c>
      <c r="D15" s="135">
        <v>83</v>
      </c>
      <c r="E15" s="135">
        <v>125</v>
      </c>
      <c r="F15" s="135">
        <v>155</v>
      </c>
      <c r="G15" s="135">
        <v>185</v>
      </c>
    </row>
    <row r="16" spans="2:7" ht="12.75">
      <c r="B16" s="65"/>
      <c r="C16" s="65"/>
      <c r="D16" s="65"/>
      <c r="E16" s="65"/>
      <c r="F16" s="65"/>
      <c r="G16" s="65"/>
    </row>
    <row r="17" spans="1:7" ht="12.75">
      <c r="A17" s="136" t="s">
        <v>49</v>
      </c>
      <c r="B17" s="65"/>
      <c r="C17" s="65"/>
      <c r="D17" s="65"/>
      <c r="E17" s="65"/>
      <c r="F17" s="65"/>
      <c r="G17" s="65"/>
    </row>
    <row r="18" spans="2:7" ht="12.75">
      <c r="B18" s="65"/>
      <c r="C18" s="65"/>
      <c r="D18" s="65"/>
      <c r="E18" s="65"/>
      <c r="F18" s="65"/>
      <c r="G18" s="65"/>
    </row>
    <row r="19" spans="2:7" ht="12.75">
      <c r="B19" s="65"/>
      <c r="C19" s="65"/>
      <c r="D19" s="65"/>
      <c r="E19" s="65"/>
      <c r="F19" s="65"/>
      <c r="G19" s="65"/>
    </row>
    <row r="20" spans="2:7" ht="12.75">
      <c r="B20" s="65"/>
      <c r="C20" s="65"/>
      <c r="D20" s="65"/>
      <c r="E20" s="65"/>
      <c r="F20" s="65"/>
      <c r="G20" s="65"/>
    </row>
    <row r="21" spans="2:7" ht="12.75">
      <c r="B21" s="65"/>
      <c r="C21" s="65"/>
      <c r="D21" s="65"/>
      <c r="E21" s="65"/>
      <c r="F21" s="65"/>
      <c r="G21" s="65"/>
    </row>
    <row r="22" spans="2:7" ht="12.75">
      <c r="B22" s="65"/>
      <c r="C22" s="65"/>
      <c r="D22" s="65"/>
      <c r="E22" s="65"/>
      <c r="F22" s="65"/>
      <c r="G22" s="65"/>
    </row>
    <row r="23" spans="2:7" ht="12.75">
      <c r="B23" s="65"/>
      <c r="C23" s="65"/>
      <c r="D23" s="65"/>
      <c r="E23" s="65"/>
      <c r="F23" s="65"/>
      <c r="G23" s="65"/>
    </row>
    <row r="24" spans="2:7" ht="12.75">
      <c r="B24" s="65"/>
      <c r="C24" s="65"/>
      <c r="D24" s="65"/>
      <c r="E24" s="65"/>
      <c r="F24" s="65"/>
      <c r="G24" s="65"/>
    </row>
    <row r="25" spans="2:7" ht="12.75">
      <c r="B25" s="65"/>
      <c r="C25" s="65"/>
      <c r="D25" s="65"/>
      <c r="E25" s="65"/>
      <c r="F25" s="65"/>
      <c r="G25" s="65"/>
    </row>
    <row r="26" ht="12.75"/>
    <row r="27" ht="12.75">
      <c r="A27" s="134" t="s">
        <v>24</v>
      </c>
    </row>
    <row r="28" ht="13.5" thickBot="1">
      <c r="B28" s="136" t="s">
        <v>25</v>
      </c>
    </row>
    <row r="29" spans="2:9" ht="12.75">
      <c r="B29" s="66"/>
      <c r="C29" s="67" t="s">
        <v>26</v>
      </c>
      <c r="D29" s="68"/>
      <c r="E29" s="68"/>
      <c r="F29" s="68"/>
      <c r="G29" s="68"/>
      <c r="H29" s="68"/>
      <c r="I29" s="69"/>
    </row>
    <row r="30" spans="2:10" ht="12.75">
      <c r="B30" s="70" t="s">
        <v>27</v>
      </c>
      <c r="C30" s="71">
        <v>5</v>
      </c>
      <c r="D30" s="71">
        <v>10</v>
      </c>
      <c r="E30" s="71">
        <v>20</v>
      </c>
      <c r="F30" s="71">
        <v>40</v>
      </c>
      <c r="G30" s="71">
        <v>80</v>
      </c>
      <c r="H30" s="71">
        <v>160</v>
      </c>
      <c r="I30" s="72">
        <v>350</v>
      </c>
      <c r="J30" s="62">
        <v>1</v>
      </c>
    </row>
    <row r="31" spans="2:10" ht="12.75">
      <c r="B31" s="73">
        <v>0.1</v>
      </c>
      <c r="C31" s="74">
        <v>0.95</v>
      </c>
      <c r="D31" s="74">
        <v>0.92</v>
      </c>
      <c r="E31" s="74">
        <v>0.88</v>
      </c>
      <c r="F31" s="74">
        <v>0.83</v>
      </c>
      <c r="G31" s="74">
        <v>0.76</v>
      </c>
      <c r="H31" s="74">
        <v>0.67</v>
      </c>
      <c r="I31" s="75">
        <v>0.56</v>
      </c>
      <c r="J31" s="62">
        <v>2</v>
      </c>
    </row>
    <row r="32" spans="2:10" ht="12.75">
      <c r="B32" s="76">
        <v>5</v>
      </c>
      <c r="C32" s="77">
        <v>0.89</v>
      </c>
      <c r="D32" s="77">
        <v>0.87</v>
      </c>
      <c r="E32" s="77">
        <v>0.84</v>
      </c>
      <c r="F32" s="77">
        <v>0.8</v>
      </c>
      <c r="G32" s="77">
        <v>0.73</v>
      </c>
      <c r="H32" s="77">
        <v>0.65</v>
      </c>
      <c r="I32" s="78">
        <v>0.54</v>
      </c>
      <c r="J32" s="62">
        <v>3</v>
      </c>
    </row>
    <row r="33" spans="2:10" ht="12.75">
      <c r="B33" s="76">
        <v>10</v>
      </c>
      <c r="C33" s="77">
        <v>0.85</v>
      </c>
      <c r="D33" s="77">
        <v>0.84</v>
      </c>
      <c r="E33" s="77">
        <v>0.81</v>
      </c>
      <c r="F33" s="77">
        <v>0.77</v>
      </c>
      <c r="G33" s="77">
        <v>0.71</v>
      </c>
      <c r="H33" s="77">
        <v>0.64</v>
      </c>
      <c r="I33" s="78">
        <v>0.53</v>
      </c>
      <c r="J33" s="62">
        <v>4</v>
      </c>
    </row>
    <row r="34" spans="2:10" ht="12.75">
      <c r="B34" s="76">
        <v>20</v>
      </c>
      <c r="C34" s="77">
        <v>0.8</v>
      </c>
      <c r="D34" s="77">
        <v>0.78</v>
      </c>
      <c r="E34" s="77">
        <v>0.76</v>
      </c>
      <c r="F34" s="77">
        <v>0.73</v>
      </c>
      <c r="G34" s="77">
        <v>0.68</v>
      </c>
      <c r="H34" s="77">
        <v>0.61</v>
      </c>
      <c r="I34" s="78">
        <v>0.51</v>
      </c>
      <c r="J34" s="62">
        <v>5</v>
      </c>
    </row>
    <row r="35" spans="2:10" ht="12.75">
      <c r="B35" s="76">
        <v>40</v>
      </c>
      <c r="C35" s="77">
        <v>0.72</v>
      </c>
      <c r="D35" s="77">
        <v>0.72</v>
      </c>
      <c r="E35" s="77">
        <v>0.7</v>
      </c>
      <c r="F35" s="77">
        <v>0.67</v>
      </c>
      <c r="G35" s="77">
        <v>0.63</v>
      </c>
      <c r="H35" s="77">
        <v>0.57</v>
      </c>
      <c r="I35" s="78">
        <v>0.48</v>
      </c>
      <c r="J35" s="62">
        <v>6</v>
      </c>
    </row>
    <row r="36" spans="2:10" ht="12.75">
      <c r="B36" s="76">
        <v>80</v>
      </c>
      <c r="C36" s="77">
        <v>0.63</v>
      </c>
      <c r="D36" s="77">
        <v>0.63</v>
      </c>
      <c r="E36" s="77">
        <v>0.61</v>
      </c>
      <c r="F36" s="77">
        <v>0.59</v>
      </c>
      <c r="G36" s="77">
        <v>0.56</v>
      </c>
      <c r="H36" s="77">
        <v>0.51</v>
      </c>
      <c r="I36" s="78">
        <v>0.44</v>
      </c>
      <c r="J36" s="62">
        <v>7</v>
      </c>
    </row>
    <row r="37" spans="2:10" ht="13.5" thickBot="1">
      <c r="B37" s="79">
        <v>160</v>
      </c>
      <c r="C37" s="80">
        <v>0.53</v>
      </c>
      <c r="D37" s="80">
        <v>0.53</v>
      </c>
      <c r="E37" s="80">
        <v>0.52</v>
      </c>
      <c r="F37" s="80">
        <v>0.5</v>
      </c>
      <c r="G37" s="80">
        <v>0.47</v>
      </c>
      <c r="H37" s="80">
        <v>0.44</v>
      </c>
      <c r="I37" s="81">
        <v>0.38</v>
      </c>
      <c r="J37" s="62">
        <v>8</v>
      </c>
    </row>
    <row r="38" spans="2:10" ht="12.75">
      <c r="B38" s="62">
        <v>1</v>
      </c>
      <c r="C38" s="62">
        <v>2</v>
      </c>
      <c r="D38" s="62">
        <v>3</v>
      </c>
      <c r="E38" s="62">
        <v>4</v>
      </c>
      <c r="F38" s="62">
        <v>5</v>
      </c>
      <c r="G38" s="62">
        <v>6</v>
      </c>
      <c r="H38" s="62">
        <v>7</v>
      </c>
      <c r="I38" s="62">
        <v>8</v>
      </c>
      <c r="J38" s="62">
        <v>9</v>
      </c>
    </row>
    <row r="40" ht="13.5" thickBot="1">
      <c r="A40" s="136" t="s">
        <v>28</v>
      </c>
    </row>
    <row r="41" spans="1:11" ht="13.5" thickTop="1">
      <c r="A41" s="82" t="s">
        <v>4</v>
      </c>
      <c r="B41" s="83"/>
      <c r="C41" s="83"/>
      <c r="D41" s="83"/>
      <c r="E41" s="83"/>
      <c r="F41" s="83"/>
      <c r="G41" s="84" t="s">
        <v>29</v>
      </c>
      <c r="H41" s="84" t="s">
        <v>30</v>
      </c>
      <c r="I41" s="83" t="s">
        <v>31</v>
      </c>
      <c r="J41" s="83" t="s">
        <v>32</v>
      </c>
      <c r="K41" s="85"/>
    </row>
    <row r="42" spans="1:11" ht="13.5" thickBot="1">
      <c r="A42" s="86"/>
      <c r="B42" s="70" t="s">
        <v>33</v>
      </c>
      <c r="C42" s="137">
        <v>45</v>
      </c>
      <c r="D42" s="65"/>
      <c r="E42" s="65"/>
      <c r="F42" s="65"/>
      <c r="G42" s="65">
        <f>LOOKUP(C42,C30:I30)</f>
        <v>40</v>
      </c>
      <c r="H42" s="65">
        <f>VLOOKUP(B30,B30:I30,I42+1)</f>
        <v>80</v>
      </c>
      <c r="I42" s="65">
        <f>HLOOKUP(G42,C30:I38,9)</f>
        <v>5</v>
      </c>
      <c r="J42" s="65"/>
      <c r="K42" s="87"/>
    </row>
    <row r="43" spans="1:11" ht="13.5" thickTop="1">
      <c r="A43" s="86"/>
      <c r="B43" s="70" t="s">
        <v>34</v>
      </c>
      <c r="C43" s="137">
        <v>14</v>
      </c>
      <c r="D43" s="65"/>
      <c r="E43" s="70" t="s">
        <v>35</v>
      </c>
      <c r="F43" s="65">
        <f>LOOKUP(C43,B31:B37)</f>
        <v>10</v>
      </c>
      <c r="G43" s="82">
        <f>HLOOKUP(G42,C30:I37,F45)</f>
        <v>0.77</v>
      </c>
      <c r="H43" s="85">
        <f>HLOOKUP(H42,C30:I37,F45)</f>
        <v>0.71</v>
      </c>
      <c r="I43" s="65"/>
      <c r="J43" s="65">
        <f>G43-(G43-H43)/(H42-G42)*(C42-G42)</f>
        <v>0.7625</v>
      </c>
      <c r="K43" s="87"/>
    </row>
    <row r="44" spans="1:11" ht="13.5" thickBot="1">
      <c r="A44" s="86"/>
      <c r="B44" s="65"/>
      <c r="C44" s="65"/>
      <c r="D44" s="65"/>
      <c r="E44" s="70" t="s">
        <v>36</v>
      </c>
      <c r="F44" s="65">
        <f>HLOOKUP(B30,B30:B37,F45+1)</f>
        <v>20</v>
      </c>
      <c r="G44" s="88">
        <f>HLOOKUP(G42,C30:I37,F45+1)</f>
        <v>0.73</v>
      </c>
      <c r="H44" s="89">
        <f>HLOOKUP(H42,C30:I37,F45+1)</f>
        <v>0.68</v>
      </c>
      <c r="I44" s="65"/>
      <c r="J44" s="65">
        <f>G44-(G44-H44)/(H42-G42)*(C42-G42)</f>
        <v>0.72375</v>
      </c>
      <c r="K44" s="87"/>
    </row>
    <row r="45" spans="1:11" ht="14.25" thickBot="1" thickTop="1">
      <c r="A45" s="88"/>
      <c r="B45" s="90" t="s">
        <v>37</v>
      </c>
      <c r="C45" s="91">
        <f>J43-(J43-J44)/(F44-F43)*(C43-F43)</f>
        <v>0.747</v>
      </c>
      <c r="D45" s="92"/>
      <c r="E45" s="92" t="s">
        <v>38</v>
      </c>
      <c r="F45" s="92">
        <f>VLOOKUP(F43,B31:J37,9)</f>
        <v>4</v>
      </c>
      <c r="G45" s="92"/>
      <c r="H45" s="92"/>
      <c r="I45" s="92"/>
      <c r="J45" s="92"/>
      <c r="K45" s="89"/>
    </row>
    <row r="46" ht="13.5" thickTop="1"/>
    <row r="47" ht="13.5" thickBot="1"/>
    <row r="48" spans="1:11" ht="14.25" thickBot="1" thickTop="1">
      <c r="A48" s="93" t="s">
        <v>39</v>
      </c>
      <c r="B48" s="83"/>
      <c r="C48" s="83"/>
      <c r="D48" s="83"/>
      <c r="E48" s="83"/>
      <c r="F48" s="83"/>
      <c r="G48" s="84" t="s">
        <v>29</v>
      </c>
      <c r="H48" s="84" t="s">
        <v>30</v>
      </c>
      <c r="I48" s="83" t="s">
        <v>31</v>
      </c>
      <c r="J48" s="83" t="s">
        <v>32</v>
      </c>
      <c r="K48" s="85"/>
    </row>
    <row r="49" spans="1:11" ht="14.25" thickBot="1" thickTop="1">
      <c r="A49" s="86"/>
      <c r="B49" s="70" t="s">
        <v>33</v>
      </c>
      <c r="C49" s="137">
        <f>C42</f>
        <v>45</v>
      </c>
      <c r="D49" s="65"/>
      <c r="E49" s="65"/>
      <c r="F49" s="65"/>
      <c r="G49" s="65">
        <f>LOOKUP(C49,C30:I30)</f>
        <v>40</v>
      </c>
      <c r="H49" s="65">
        <f>VLOOKUP(B30,B30:I30,I49+1)</f>
        <v>80</v>
      </c>
      <c r="I49" s="65">
        <f>HLOOKUP(G49,C30:I38,9)</f>
        <v>5</v>
      </c>
      <c r="J49" s="65"/>
      <c r="K49" s="87"/>
    </row>
    <row r="50" spans="1:11" ht="13.5" thickTop="1">
      <c r="A50" s="86"/>
      <c r="B50" s="70" t="s">
        <v>34</v>
      </c>
      <c r="C50" s="137">
        <v>25</v>
      </c>
      <c r="D50" s="65"/>
      <c r="E50" s="70" t="s">
        <v>35</v>
      </c>
      <c r="F50" s="65">
        <f>LOOKUP(C50,B31:B37)</f>
        <v>20</v>
      </c>
      <c r="G50" s="82">
        <f>HLOOKUP(G49,C30:I37,F52)</f>
        <v>0.73</v>
      </c>
      <c r="H50" s="85">
        <f>HLOOKUP(H49,C30:I37,F52)</f>
        <v>0.68</v>
      </c>
      <c r="I50" s="65"/>
      <c r="J50" s="65">
        <f>G50-(G50-H50)/(H49-G49)*(C49-G49)</f>
        <v>0.72375</v>
      </c>
      <c r="K50" s="87"/>
    </row>
    <row r="51" spans="1:11" ht="13.5" thickBot="1">
      <c r="A51" s="86"/>
      <c r="B51" s="65"/>
      <c r="C51" s="65"/>
      <c r="D51" s="65"/>
      <c r="E51" s="70" t="s">
        <v>36</v>
      </c>
      <c r="F51" s="65">
        <f>HLOOKUP(B30,B30:B37,F52+1)</f>
        <v>40</v>
      </c>
      <c r="G51" s="88">
        <f>HLOOKUP(G49,C30:I37,F52+1)</f>
        <v>0.67</v>
      </c>
      <c r="H51" s="89">
        <f>HLOOKUP(H49,C30:I37,F52+1)</f>
        <v>0.63</v>
      </c>
      <c r="I51" s="65"/>
      <c r="J51" s="65">
        <f>G51-(G51-H51)/(H49-G49)*(C49-G49)</f>
        <v>0.665</v>
      </c>
      <c r="K51" s="87"/>
    </row>
    <row r="52" spans="1:11" ht="14.25" thickBot="1" thickTop="1">
      <c r="A52" s="88"/>
      <c r="B52" s="94" t="s">
        <v>37</v>
      </c>
      <c r="C52" s="95">
        <f>J50-(J50-J51)/(F51-F50)*(C50-F50)</f>
        <v>0.7090625</v>
      </c>
      <c r="D52" s="92"/>
      <c r="E52" s="92" t="s">
        <v>38</v>
      </c>
      <c r="F52" s="92">
        <f>VLOOKUP(F50,B31:J37,9)</f>
        <v>5</v>
      </c>
      <c r="G52" s="92"/>
      <c r="H52" s="92"/>
      <c r="I52" s="92"/>
      <c r="J52" s="92"/>
      <c r="K52" s="89"/>
    </row>
    <row r="53" ht="13.5" thickTop="1"/>
  </sheetData>
  <sheetProtection/>
  <printOptions/>
  <pageMargins left="0.75" right="0.75" top="1" bottom="1" header="0.5" footer="0.5"/>
  <pageSetup horizontalDpi="600" verticalDpi="600" orientation="portrait" scale="87" r:id="rId6"/>
  <legacyDrawing r:id="rId5"/>
  <oleObjects>
    <oleObject progId="Equation.3" shapeId="2537207" r:id="rId1"/>
    <oleObject progId="Equation.3" shapeId="2537206" r:id="rId2"/>
    <oleObject progId="Equation.3" shapeId="2537205" r:id="rId3"/>
    <oleObject progId="Equation.3" shapeId="253720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5"/>
  <sheetViews>
    <sheetView tabSelected="1" view="pageBreakPreview" zoomScale="125" zoomScaleNormal="110" zoomScaleSheetLayoutView="125" zoomScalePageLayoutView="0" workbookViewId="0" topLeftCell="A4">
      <selection activeCell="E32" sqref="E32"/>
    </sheetView>
  </sheetViews>
  <sheetFormatPr defaultColWidth="9.140625" defaultRowHeight="12.75"/>
  <cols>
    <col min="1" max="13" width="8.7109375" style="192" customWidth="1"/>
    <col min="14" max="14" width="8.7109375" style="193" customWidth="1"/>
    <col min="15" max="15" width="9.140625" style="247" customWidth="1"/>
    <col min="16" max="16384" width="9.140625" style="192" customWidth="1"/>
  </cols>
  <sheetData>
    <row r="1" spans="1:24" ht="39" customHeight="1">
      <c r="A1" s="291" t="s">
        <v>128</v>
      </c>
      <c r="B1" s="292"/>
      <c r="C1" s="292"/>
      <c r="D1" s="292"/>
      <c r="E1" s="292"/>
      <c r="F1" s="292"/>
      <c r="G1" s="292"/>
      <c r="H1" s="292"/>
      <c r="I1" s="208"/>
      <c r="J1" s="208"/>
      <c r="K1" s="209"/>
      <c r="L1" s="210"/>
      <c r="M1" s="211"/>
      <c r="N1" s="114"/>
      <c r="U1" s="193"/>
      <c r="V1" s="193"/>
      <c r="W1" s="193"/>
      <c r="X1" s="193"/>
    </row>
    <row r="2" spans="1:31" ht="13.5" customHeight="1">
      <c r="A2" s="283" t="s">
        <v>51</v>
      </c>
      <c r="B2" s="280"/>
      <c r="C2" s="280" t="s">
        <v>52</v>
      </c>
      <c r="D2" s="280"/>
      <c r="E2" s="212"/>
      <c r="F2" s="212"/>
      <c r="G2" s="212"/>
      <c r="H2" s="212"/>
      <c r="I2" s="212"/>
      <c r="J2" s="212"/>
      <c r="K2" s="294">
        <f ca="1">TODAY()</f>
        <v>42500</v>
      </c>
      <c r="L2" s="295"/>
      <c r="M2" s="212"/>
      <c r="N2" s="114"/>
      <c r="Q2" s="192" t="s">
        <v>14</v>
      </c>
      <c r="R2" s="192" t="s">
        <v>0</v>
      </c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31" ht="13.5" customHeight="1">
      <c r="A3" s="283" t="str">
        <f>IF($L$3="Vietnam","Tên công trình:","Project:")</f>
        <v>Project:</v>
      </c>
      <c r="B3" s="280"/>
      <c r="C3" s="280">
        <f>'Static part-Y'!C3</f>
        <v>0</v>
      </c>
      <c r="D3" s="280"/>
      <c r="E3" s="212"/>
      <c r="F3" s="212"/>
      <c r="G3" s="212"/>
      <c r="H3" s="212"/>
      <c r="I3" s="213"/>
      <c r="J3" s="290" t="str">
        <f>IF($L$3="Vietnam","Ngôn ngữ:","Language:")</f>
        <v>Language:</v>
      </c>
      <c r="K3" s="290"/>
      <c r="L3" s="246" t="s">
        <v>50</v>
      </c>
      <c r="M3" s="212"/>
      <c r="N3" s="114"/>
      <c r="Q3" s="192" t="s">
        <v>15</v>
      </c>
      <c r="R3" s="192" t="s">
        <v>1</v>
      </c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</row>
    <row r="4" spans="1:24" ht="13.5" customHeight="1">
      <c r="A4" s="283" t="str">
        <f>IF($L$3="Vietnam","Người thực hiện:","Computed by")</f>
        <v>Computed by</v>
      </c>
      <c r="B4" s="280"/>
      <c r="C4" s="280"/>
      <c r="D4" s="280"/>
      <c r="E4" s="212"/>
      <c r="F4" s="212"/>
      <c r="G4" s="212"/>
      <c r="H4" s="212"/>
      <c r="I4" s="212"/>
      <c r="J4" s="212"/>
      <c r="K4" s="212"/>
      <c r="L4" s="214"/>
      <c r="M4" s="212"/>
      <c r="N4" s="114"/>
      <c r="Q4" s="192" t="s">
        <v>16</v>
      </c>
      <c r="R4" s="192" t="s">
        <v>2</v>
      </c>
      <c r="U4" s="193"/>
      <c r="V4" s="193"/>
      <c r="W4" s="193"/>
      <c r="X4" s="193"/>
    </row>
    <row r="5" spans="1:24" ht="13.5" customHeight="1">
      <c r="A5" s="281" t="s">
        <v>134</v>
      </c>
      <c r="B5" s="282"/>
      <c r="C5" s="212" t="s">
        <v>116</v>
      </c>
      <c r="D5" s="213"/>
      <c r="E5" s="212"/>
      <c r="F5" s="212"/>
      <c r="G5" s="212"/>
      <c r="H5" s="212"/>
      <c r="I5" s="212"/>
      <c r="J5" s="212"/>
      <c r="K5" s="212"/>
      <c r="L5" s="214"/>
      <c r="M5" s="212"/>
      <c r="N5" s="114"/>
      <c r="U5" s="193"/>
      <c r="V5" s="193"/>
      <c r="W5" s="193"/>
      <c r="X5" s="193"/>
    </row>
    <row r="6" spans="1:24" ht="3.75" customHeight="1" hidden="1">
      <c r="A6" s="215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4"/>
      <c r="M6" s="212"/>
      <c r="N6" s="114"/>
      <c r="U6" s="193"/>
      <c r="V6" s="193"/>
      <c r="W6" s="193"/>
      <c r="X6" s="193"/>
    </row>
    <row r="7" spans="1:24" ht="13.5" customHeight="1">
      <c r="A7" s="216" t="str">
        <f>IF($M$3="Vietnam","1. Số liệu tính toán","1. Input data")</f>
        <v>1. Input data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4"/>
      <c r="M7" s="212"/>
      <c r="N7" s="114"/>
      <c r="U7" s="193"/>
      <c r="V7" s="193"/>
      <c r="W7" s="193"/>
      <c r="X7" s="193"/>
    </row>
    <row r="8" spans="1:24" ht="4.5" customHeight="1" hidden="1">
      <c r="A8" s="217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4"/>
      <c r="M8" s="212"/>
      <c r="N8" s="114"/>
      <c r="U8" s="193"/>
      <c r="V8" s="193"/>
      <c r="W8" s="193"/>
      <c r="X8" s="193"/>
    </row>
    <row r="9" spans="1:20" ht="13.5" customHeight="1">
      <c r="A9" s="281" t="s">
        <v>129</v>
      </c>
      <c r="B9" s="282"/>
      <c r="C9" s="282"/>
      <c r="D9" s="212">
        <f>H</f>
        <v>45</v>
      </c>
      <c r="E9" s="212" t="s">
        <v>3</v>
      </c>
      <c r="F9" s="280" t="s">
        <v>58</v>
      </c>
      <c r="G9" s="280"/>
      <c r="H9" s="212"/>
      <c r="I9" s="212"/>
      <c r="J9" s="212"/>
      <c r="K9" s="218" t="s">
        <v>1</v>
      </c>
      <c r="L9" s="214"/>
      <c r="M9" s="212"/>
      <c r="N9" s="114"/>
      <c r="S9" s="195">
        <v>1.4</v>
      </c>
      <c r="T9" s="193">
        <v>0.095</v>
      </c>
    </row>
    <row r="10" spans="1:20" ht="13.5" customHeight="1">
      <c r="A10" s="283" t="s">
        <v>56</v>
      </c>
      <c r="B10" s="280"/>
      <c r="C10" s="280"/>
      <c r="D10" s="212">
        <f>'Static part-X'!D10</f>
        <v>25</v>
      </c>
      <c r="E10" s="212" t="s">
        <v>3</v>
      </c>
      <c r="F10" s="280" t="s">
        <v>59</v>
      </c>
      <c r="G10" s="280"/>
      <c r="H10" s="212"/>
      <c r="I10" s="212"/>
      <c r="J10" s="212"/>
      <c r="K10" s="218" t="s">
        <v>14</v>
      </c>
      <c r="L10" s="214"/>
      <c r="M10" s="212"/>
      <c r="N10" s="114"/>
      <c r="S10" s="195">
        <v>1.2</v>
      </c>
      <c r="T10" s="193"/>
    </row>
    <row r="11" spans="1:14" ht="13.5" customHeight="1">
      <c r="A11" s="283" t="s">
        <v>57</v>
      </c>
      <c r="B11" s="280"/>
      <c r="C11" s="280"/>
      <c r="D11" s="212">
        <f>'Static part-Y'!n</f>
        <v>14</v>
      </c>
      <c r="E11" s="212" t="s">
        <v>3</v>
      </c>
      <c r="F11" s="280" t="s">
        <v>60</v>
      </c>
      <c r="G11" s="280"/>
      <c r="H11" s="280"/>
      <c r="I11" s="219"/>
      <c r="J11" s="219"/>
      <c r="K11" s="212">
        <f>'Static part-Y'!I11</f>
        <v>0.083</v>
      </c>
      <c r="L11" s="214"/>
      <c r="M11" s="212"/>
      <c r="N11" s="114"/>
    </row>
    <row r="12" spans="1:14" ht="4.5" customHeight="1" hidden="1">
      <c r="A12" s="215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4"/>
      <c r="M12" s="212"/>
      <c r="N12" s="114"/>
    </row>
    <row r="13" spans="1:14" ht="13.5" customHeight="1">
      <c r="A13" s="216" t="s">
        <v>105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212"/>
      <c r="N13" s="114"/>
    </row>
    <row r="14" spans="1:14" ht="13.5" customHeight="1">
      <c r="A14" s="217"/>
      <c r="B14" s="212"/>
      <c r="C14" s="212"/>
      <c r="D14" s="212"/>
      <c r="E14" s="222"/>
      <c r="F14" s="223"/>
      <c r="G14" s="224"/>
      <c r="H14" s="212"/>
      <c r="I14" s="212"/>
      <c r="J14" s="212"/>
      <c r="K14" s="212"/>
      <c r="L14" s="214"/>
      <c r="M14" s="212"/>
      <c r="N14" s="114"/>
    </row>
    <row r="15" spans="1:19" ht="24" customHeight="1">
      <c r="A15" s="293" t="s">
        <v>70</v>
      </c>
      <c r="B15" s="284" t="s">
        <v>71</v>
      </c>
      <c r="C15" s="284" t="s">
        <v>102</v>
      </c>
      <c r="D15" s="284"/>
      <c r="E15" s="288" t="s">
        <v>103</v>
      </c>
      <c r="F15" s="285"/>
      <c r="G15" s="285"/>
      <c r="H15" s="285"/>
      <c r="I15" s="285"/>
      <c r="J15" s="289"/>
      <c r="K15" s="284" t="s">
        <v>115</v>
      </c>
      <c r="L15" s="286"/>
      <c r="M15" s="285" t="s">
        <v>107</v>
      </c>
      <c r="N15" s="287"/>
      <c r="P15" s="194"/>
      <c r="Q15" s="194"/>
      <c r="R15" s="194"/>
      <c r="S15" s="194"/>
    </row>
    <row r="16" spans="1:19" ht="17.25" customHeight="1">
      <c r="A16" s="293"/>
      <c r="B16" s="284"/>
      <c r="C16" s="225" t="s">
        <v>39</v>
      </c>
      <c r="D16" s="225" t="s">
        <v>4</v>
      </c>
      <c r="E16" s="225" t="s">
        <v>41</v>
      </c>
      <c r="F16" s="225" t="s">
        <v>42</v>
      </c>
      <c r="G16" s="225" t="s">
        <v>131</v>
      </c>
      <c r="H16" s="225" t="s">
        <v>43</v>
      </c>
      <c r="I16" s="225" t="s">
        <v>44</v>
      </c>
      <c r="J16" s="225" t="s">
        <v>130</v>
      </c>
      <c r="K16" s="225" t="s">
        <v>4</v>
      </c>
      <c r="L16" s="226" t="s">
        <v>39</v>
      </c>
      <c r="M16" s="285"/>
      <c r="N16" s="287"/>
      <c r="P16" s="194"/>
      <c r="Q16" s="194"/>
      <c r="R16" s="194"/>
      <c r="S16" s="194"/>
    </row>
    <row r="17" spans="1:19" ht="13.5" customHeight="1">
      <c r="A17" s="227">
        <f>+'Static part-Y'!A17</f>
        <v>1</v>
      </c>
      <c r="B17" s="228">
        <f>+'Static part-Y'!C17</f>
        <v>1.2</v>
      </c>
      <c r="C17" s="229">
        <f>'Static part-Y'!K17</f>
        <v>7.86398217653905</v>
      </c>
      <c r="D17" s="229">
        <f>'Static part-X'!K17</f>
        <v>4.403830018861868</v>
      </c>
      <c r="E17" s="229">
        <f>+'Dynamic- X1'!K25</f>
        <v>0</v>
      </c>
      <c r="F17" s="229">
        <f>+'Dynamic-X2'!K25</f>
        <v>0</v>
      </c>
      <c r="G17" s="229">
        <f>'Dynamic-X3'!K25</f>
        <v>0</v>
      </c>
      <c r="H17" s="229">
        <f>+'Dynamic-Y1'!K25</f>
        <v>0</v>
      </c>
      <c r="I17" s="229">
        <f>+'Dynamic-Y2'!K25</f>
        <v>0</v>
      </c>
      <c r="J17" s="229">
        <f>'Dynamic-Y3'!K25</f>
        <v>0</v>
      </c>
      <c r="K17" s="229">
        <f>D17+SQRT(E17^2+F17^2+G17^2)</f>
        <v>4.403830018861868</v>
      </c>
      <c r="L17" s="230">
        <f>C17+SQRT(H17^2+I17^2+J17^2)</f>
        <v>7.86398217653905</v>
      </c>
      <c r="M17" s="231" t="str">
        <f>'Static part-Y'!L17</f>
        <v>D</v>
      </c>
      <c r="N17" s="126">
        <f>K17/D17</f>
        <v>1</v>
      </c>
      <c r="O17" s="247">
        <f>L17/C17</f>
        <v>1</v>
      </c>
      <c r="P17" s="194"/>
      <c r="Q17" s="194"/>
      <c r="R17" s="194"/>
      <c r="S17" s="194"/>
    </row>
    <row r="18" spans="1:19" ht="13.5" customHeight="1">
      <c r="A18" s="227">
        <f>+'Static part-Y'!A18</f>
        <v>2</v>
      </c>
      <c r="B18" s="228">
        <f>+'Static part-Y'!C18</f>
        <v>5</v>
      </c>
      <c r="C18" s="229">
        <f>'Static part-Y'!K18</f>
        <v>10.842247008895827</v>
      </c>
      <c r="D18" s="229">
        <f>'Static part-X'!K18</f>
        <v>6.071658324981662</v>
      </c>
      <c r="E18" s="229">
        <f>+'Dynamic- X1'!K26</f>
        <v>0.3373001091888491</v>
      </c>
      <c r="F18" s="229">
        <f>+'Dynamic-X2'!K26</f>
        <v>0.33606754288993096</v>
      </c>
      <c r="G18" s="229">
        <f>'Dynamic-X3'!K26</f>
        <v>0.127863994275231</v>
      </c>
      <c r="H18" s="229">
        <f>+'Dynamic-Y1'!K26</f>
        <v>0.7366715501773297</v>
      </c>
      <c r="I18" s="229">
        <f>+'Dynamic-Y2'!K26</f>
        <v>0.5573629198427332</v>
      </c>
      <c r="J18" s="229">
        <f>'Dynamic-Y3'!K26</f>
        <v>0.1636621061475662</v>
      </c>
      <c r="K18" s="229">
        <f aca="true" t="shared" si="0" ref="K18:K31">D18+SQRT(E18^2+F18^2+G18^2)</f>
        <v>6.564671466870295</v>
      </c>
      <c r="L18" s="230">
        <f aca="true" t="shared" si="1" ref="L18:L31">C18+SQRT(H18^2+I18^2+J18^2)</f>
        <v>11.780396081402401</v>
      </c>
      <c r="M18" s="231" t="str">
        <f>'Static part-Y'!L18</f>
        <v>D</v>
      </c>
      <c r="N18" s="126">
        <f aca="true" t="shared" si="2" ref="N18:N31">K18/D18</f>
        <v>1.081199091829681</v>
      </c>
      <c r="O18" s="247">
        <f aca="true" t="shared" si="3" ref="O18:O31">L18/C18</f>
        <v>1.086527181287868</v>
      </c>
      <c r="P18" s="194"/>
      <c r="Q18" s="194"/>
      <c r="R18" s="194"/>
      <c r="S18" s="194"/>
    </row>
    <row r="19" spans="1:19" ht="13.5" customHeight="1">
      <c r="A19" s="227">
        <f>+'Static part-Y'!A19</f>
        <v>3</v>
      </c>
      <c r="B19" s="228">
        <f>+'Static part-Y'!C19</f>
        <v>8.2</v>
      </c>
      <c r="C19" s="229">
        <f>'Static part-Y'!K19</f>
        <v>10.62378736921655</v>
      </c>
      <c r="D19" s="229">
        <f>'Static part-X'!K19</f>
        <v>5.949320926761269</v>
      </c>
      <c r="E19" s="229">
        <f>+'Dynamic- X1'!K27</f>
        <v>1.1033128675603077</v>
      </c>
      <c r="F19" s="229">
        <f>+'Dynamic-X2'!K27</f>
        <v>0.8794249022486693</v>
      </c>
      <c r="G19" s="229">
        <f>'Dynamic-X3'!K27</f>
        <v>-0.33459577708594157</v>
      </c>
      <c r="H19" s="229">
        <f>+'Dynamic-Y1'!K27</f>
        <v>1.8474074077937552</v>
      </c>
      <c r="I19" s="229">
        <f>+'Dynamic-Y2'!K27</f>
        <v>1.4585128545432477</v>
      </c>
      <c r="J19" s="229">
        <f>'Dynamic-Y3'!K27</f>
        <v>0.4282726337180806</v>
      </c>
      <c r="K19" s="229">
        <f t="shared" si="0"/>
        <v>7.3993698143726405</v>
      </c>
      <c r="L19" s="230">
        <f t="shared" si="1"/>
        <v>13.016190204449563</v>
      </c>
      <c r="M19" s="231" t="str">
        <f>'Static part-Y'!L19</f>
        <v>D</v>
      </c>
      <c r="N19" s="126">
        <f t="shared" si="2"/>
        <v>1.2437335126919702</v>
      </c>
      <c r="O19" s="247">
        <f t="shared" si="3"/>
        <v>1.2251930269392657</v>
      </c>
      <c r="P19" s="194"/>
      <c r="Q19" s="194"/>
      <c r="R19" s="194"/>
      <c r="S19" s="194"/>
    </row>
    <row r="20" spans="1:19" ht="13.5" customHeight="1">
      <c r="A20" s="227">
        <f>+'Static part-Y'!A20</f>
        <v>4</v>
      </c>
      <c r="B20" s="228">
        <f>+'Static part-Y'!C20</f>
        <v>11.399999999999999</v>
      </c>
      <c r="C20" s="229">
        <f>'Static part-Y'!K20</f>
        <v>12.51597342041298</v>
      </c>
      <c r="D20" s="229">
        <f>'Static part-X'!K20</f>
        <v>7.008945115431268</v>
      </c>
      <c r="E20" s="229">
        <f>+'Dynamic- X1'!K28</f>
        <v>2.101833468188157</v>
      </c>
      <c r="F20" s="229">
        <f>+'Dynamic-X2'!K28</f>
        <v>1.6658034606088719</v>
      </c>
      <c r="G20" s="229">
        <f>'Dynamic-X3'!K28</f>
        <v>-0.3983823533146726</v>
      </c>
      <c r="H20" s="229">
        <f>+'Dynamic-Y1'!K28</f>
        <v>3.53847560689893</v>
      </c>
      <c r="I20" s="229">
        <f>+'Dynamic-Y2'!K28</f>
        <v>2.6048406306547482</v>
      </c>
      <c r="J20" s="229">
        <f>'Dynamic-Y3'!K28</f>
        <v>0.6373969404471095</v>
      </c>
      <c r="K20" s="229">
        <f t="shared" si="0"/>
        <v>9.72027571069347</v>
      </c>
      <c r="L20" s="230">
        <f t="shared" si="1"/>
        <v>16.955824678216548</v>
      </c>
      <c r="M20" s="231" t="str">
        <f>'Static part-Y'!L20</f>
        <v>D</v>
      </c>
      <c r="N20" s="126">
        <f t="shared" si="2"/>
        <v>1.3868386113186693</v>
      </c>
      <c r="O20" s="247">
        <f t="shared" si="3"/>
        <v>1.354734794383821</v>
      </c>
      <c r="P20" s="194"/>
      <c r="Q20" s="194"/>
      <c r="R20" s="194"/>
      <c r="S20" s="194"/>
    </row>
    <row r="21" spans="1:19" ht="13.5" customHeight="1">
      <c r="A21" s="227">
        <f>+'Static part-Y'!A21</f>
        <v>5</v>
      </c>
      <c r="B21" s="228">
        <f>+'Static part-Y'!C21</f>
        <v>15.399999999999999</v>
      </c>
      <c r="C21" s="229">
        <f>'Static part-Y'!K21</f>
        <v>12.691600627509487</v>
      </c>
      <c r="D21" s="229">
        <f>'Static part-X'!K21</f>
        <v>7.107296351405312</v>
      </c>
      <c r="E21" s="229">
        <f>+'Dynamic- X1'!K29</f>
        <v>2.5909887999050234</v>
      </c>
      <c r="F21" s="229">
        <f>+'Dynamic-X2'!K29</f>
        <v>2.203986117113277</v>
      </c>
      <c r="G21" s="229">
        <f>'Dynamic-X3'!K29</f>
        <v>-0.17081636516768725</v>
      </c>
      <c r="H21" s="229">
        <f>+'Dynamic-Y1'!K29</f>
        <v>4.51062321338352</v>
      </c>
      <c r="I21" s="229">
        <f>+'Dynamic-Y2'!K29</f>
        <v>3.3506710676370908</v>
      </c>
      <c r="J21" s="229">
        <f>'Dynamic-Y3'!K29</f>
        <v>0.7652395176763872</v>
      </c>
      <c r="K21" s="229">
        <f t="shared" si="0"/>
        <v>10.513167164614533</v>
      </c>
      <c r="L21" s="230">
        <f t="shared" si="1"/>
        <v>18.36243036362643</v>
      </c>
      <c r="M21" s="231" t="str">
        <f>'Static part-Y'!L21</f>
        <v>D</v>
      </c>
      <c r="N21" s="126">
        <f t="shared" si="2"/>
        <v>1.479207654333393</v>
      </c>
      <c r="O21" s="247">
        <f t="shared" si="3"/>
        <v>1.4468175372478411</v>
      </c>
      <c r="P21" s="194"/>
      <c r="Q21" s="194"/>
      <c r="R21" s="194"/>
      <c r="S21" s="194"/>
    </row>
    <row r="22" spans="1:19" ht="13.5" customHeight="1">
      <c r="A22" s="227">
        <f>+'Static part-Y'!A22</f>
        <v>6</v>
      </c>
      <c r="B22" s="228">
        <f>+'Static part-Y'!C22</f>
        <v>18.4</v>
      </c>
      <c r="C22" s="229">
        <f>'Static part-Y'!K22</f>
        <v>11.152987158882215</v>
      </c>
      <c r="D22" s="229">
        <f>'Static part-X'!K22</f>
        <v>6.2456728089740405</v>
      </c>
      <c r="E22" s="229">
        <f>+'Dynamic- X1'!K30</f>
        <v>2.511225043155094</v>
      </c>
      <c r="F22" s="229">
        <f>+'Dynamic-X2'!K30</f>
        <v>2.1334081194537804</v>
      </c>
      <c r="G22" s="229">
        <f>'Dynamic-X3'!K30</f>
        <v>0</v>
      </c>
      <c r="H22" s="229">
        <f>+'Dynamic-Y1'!K30</f>
        <v>4.349836047947219</v>
      </c>
      <c r="I22" s="229">
        <f>+'Dynamic-Y2'!K30</f>
        <v>3.4341595493888457</v>
      </c>
      <c r="J22" s="229">
        <f>'Dynamic-Y3'!K30</f>
        <v>0.9243617595757548</v>
      </c>
      <c r="K22" s="229">
        <f t="shared" si="0"/>
        <v>9.540772416196958</v>
      </c>
      <c r="L22" s="230">
        <f t="shared" si="1"/>
        <v>16.77161422581286</v>
      </c>
      <c r="M22" s="231" t="str">
        <f>'Static part-Y'!L22</f>
        <v>D</v>
      </c>
      <c r="N22" s="126">
        <f t="shared" si="2"/>
        <v>1.5275812083028721</v>
      </c>
      <c r="O22" s="247">
        <f t="shared" si="3"/>
        <v>1.5037777760244244</v>
      </c>
      <c r="P22" s="194"/>
      <c r="Q22" s="194"/>
      <c r="R22" s="194"/>
      <c r="S22" s="194"/>
    </row>
    <row r="23" spans="1:19" ht="13.5" customHeight="1">
      <c r="A23" s="227">
        <f>+'Static part-Y'!A23</f>
        <v>7</v>
      </c>
      <c r="B23" s="228">
        <f>+'Static part-Y'!C23</f>
        <v>21.4</v>
      </c>
      <c r="C23" s="229">
        <f>'Static part-Y'!K23</f>
        <v>11.39133529642012</v>
      </c>
      <c r="D23" s="229">
        <f>'Static part-X'!K23</f>
        <v>6.379147765995268</v>
      </c>
      <c r="E23" s="229">
        <f>+'Dynamic- X1'!K31</f>
        <v>3.0357009826996415</v>
      </c>
      <c r="F23" s="229">
        <f>+'Dynamic-X2'!K31</f>
        <v>2.608233293909386</v>
      </c>
      <c r="G23" s="229">
        <f>'Dynamic-X3'!K31</f>
        <v>0.26303450250904664</v>
      </c>
      <c r="H23" s="229">
        <f>+'Dynamic-Y1'!K31</f>
        <v>5.2408918855472875</v>
      </c>
      <c r="I23" s="229">
        <f>+'Dynamic-Y2'!K31</f>
        <v>4.156334916541525</v>
      </c>
      <c r="J23" s="229">
        <f>'Dynamic-Y3'!K31</f>
        <v>1.5150434969088986</v>
      </c>
      <c r="K23" s="229">
        <f t="shared" si="0"/>
        <v>10.390076401776657</v>
      </c>
      <c r="L23" s="230">
        <f t="shared" si="1"/>
        <v>18.249718815295658</v>
      </c>
      <c r="M23" s="231" t="str">
        <f>'Static part-Y'!L23</f>
        <v>D</v>
      </c>
      <c r="N23" s="126">
        <f t="shared" si="2"/>
        <v>1.6287561885871455</v>
      </c>
      <c r="O23" s="247">
        <f t="shared" si="3"/>
        <v>1.6020701998852476</v>
      </c>
      <c r="P23" s="194"/>
      <c r="Q23" s="194"/>
      <c r="R23" s="194"/>
      <c r="S23" s="194"/>
    </row>
    <row r="24" spans="1:19" ht="13.5" customHeight="1">
      <c r="A24" s="227">
        <f>+'Static part-Y'!A24</f>
        <v>8</v>
      </c>
      <c r="B24" s="228">
        <f>+'Static part-Y'!C24</f>
        <v>24.4</v>
      </c>
      <c r="C24" s="229">
        <f>'Static part-Y'!K24</f>
        <v>11.602492133442226</v>
      </c>
      <c r="D24" s="229">
        <f>'Static part-X'!K24</f>
        <v>6.497395594727648</v>
      </c>
      <c r="E24" s="229">
        <f>+'Dynamic- X1'!K32</f>
        <v>3.4693725516567335</v>
      </c>
      <c r="F24" s="229">
        <f>+'Dynamic-X2'!K32</f>
        <v>3.048176259147114</v>
      </c>
      <c r="G24" s="229">
        <f>'Dynamic-X3'!K32</f>
        <v>0.5260690050180933</v>
      </c>
      <c r="H24" s="229">
        <f>+'Dynamic-Y1'!K32</f>
        <v>6.061754470030597</v>
      </c>
      <c r="I24" s="229">
        <f>+'Dynamic-Y2'!K32</f>
        <v>5.016266278584599</v>
      </c>
      <c r="J24" s="229">
        <f>'Dynamic-Y3'!K32</f>
        <v>2.272565245363348</v>
      </c>
      <c r="K24" s="229">
        <f t="shared" si="0"/>
        <v>11.1454783185029</v>
      </c>
      <c r="L24" s="230">
        <f t="shared" si="1"/>
        <v>19.792263035429308</v>
      </c>
      <c r="M24" s="231" t="str">
        <f>'Static part-Y'!L24</f>
        <v>D</v>
      </c>
      <c r="N24" s="126">
        <f t="shared" si="2"/>
        <v>1.7153762851606216</v>
      </c>
      <c r="O24" s="247">
        <f t="shared" si="3"/>
        <v>1.7058630859469794</v>
      </c>
      <c r="P24" s="194"/>
      <c r="Q24" s="194"/>
      <c r="R24" s="194"/>
      <c r="S24" s="194"/>
    </row>
    <row r="25" spans="1:19" ht="13.5" customHeight="1">
      <c r="A25" s="227">
        <f>+'Static part-Y'!A25</f>
        <v>9</v>
      </c>
      <c r="B25" s="228">
        <f>+'Static part-Y'!C25</f>
        <v>27.4</v>
      </c>
      <c r="C25" s="229">
        <f>'Static part-Y'!K25</f>
        <v>11.79238869470926</v>
      </c>
      <c r="D25" s="229">
        <f>'Static part-X'!K25</f>
        <v>6.603737669037186</v>
      </c>
      <c r="E25" s="229">
        <f>+'Dynamic- X1'!K33</f>
        <v>3.9030441206138247</v>
      </c>
      <c r="F25" s="229">
        <f>+'Dynamic-X2'!K33</f>
        <v>3.5195437219018224</v>
      </c>
      <c r="G25" s="229">
        <f>'Dynamic-X3'!K33</f>
        <v>0.920620758781663</v>
      </c>
      <c r="H25" s="229">
        <f>+'Dynamic-Y1'!K33</f>
        <v>6.819473778784423</v>
      </c>
      <c r="I25" s="229">
        <f>+'Dynamic-Y2'!K33</f>
        <v>5.732875746953828</v>
      </c>
      <c r="J25" s="229">
        <f>'Dynamic-Y3'!K33</f>
        <v>3.1984251601410083</v>
      </c>
      <c r="K25" s="229">
        <f t="shared" si="0"/>
        <v>11.93932423466766</v>
      </c>
      <c r="L25" s="230">
        <f t="shared" si="1"/>
        <v>21.25816972189147</v>
      </c>
      <c r="M25" s="231" t="str">
        <f>'Static part-Y'!L25</f>
        <v>D</v>
      </c>
      <c r="N25" s="126">
        <f t="shared" si="2"/>
        <v>1.807964645635052</v>
      </c>
      <c r="O25" s="247">
        <f t="shared" si="3"/>
        <v>1.8027025967545576</v>
      </c>
      <c r="P25" s="194"/>
      <c r="Q25" s="194"/>
      <c r="R25" s="194"/>
      <c r="S25" s="194"/>
    </row>
    <row r="26" spans="1:19" ht="13.5" customHeight="1">
      <c r="A26" s="227">
        <f>+'Static part-Y'!A26</f>
        <v>10</v>
      </c>
      <c r="B26" s="228">
        <f>+'Static part-Y'!C26</f>
        <v>30.4</v>
      </c>
      <c r="C26" s="229">
        <f>'Static part-Y'!K26</f>
        <v>11.965173726157872</v>
      </c>
      <c r="D26" s="229">
        <f>'Static part-X'!K26</f>
        <v>6.7004972866484085</v>
      </c>
      <c r="E26" s="229">
        <f>+'Dynamic- X1'!K34</f>
        <v>4.208719420674843</v>
      </c>
      <c r="F26" s="229">
        <f>+'Dynamic-X2'!K34</f>
        <v>3.9210450688178065</v>
      </c>
      <c r="G26" s="229">
        <f>'Dynamic-X3'!K34</f>
        <v>1.302403847374891</v>
      </c>
      <c r="H26" s="229">
        <f>+'Dynamic-Y1'!K34</f>
        <v>7.378567637670739</v>
      </c>
      <c r="I26" s="229">
        <f>+'Dynamic-Y2'!K34</f>
        <v>6.528799272987222</v>
      </c>
      <c r="J26" s="229">
        <f>'Dynamic-Y3'!K34</f>
        <v>4.250947287443415</v>
      </c>
      <c r="K26" s="229">
        <f t="shared" si="0"/>
        <v>12.598307844416684</v>
      </c>
      <c r="L26" s="230">
        <f t="shared" si="1"/>
        <v>22.695459517844082</v>
      </c>
      <c r="M26" s="231" t="str">
        <f>'Static part-Y'!L26</f>
        <v>D</v>
      </c>
      <c r="N26" s="126">
        <f t="shared" si="2"/>
        <v>1.8802049020332285</v>
      </c>
      <c r="O26" s="247">
        <f t="shared" si="3"/>
        <v>1.8967931462815295</v>
      </c>
      <c r="P26" s="194"/>
      <c r="Q26" s="194"/>
      <c r="R26" s="194"/>
      <c r="S26" s="194"/>
    </row>
    <row r="27" spans="1:19" ht="13.5" customHeight="1">
      <c r="A27" s="227">
        <f>+'Static part-Y'!A27</f>
        <v>11</v>
      </c>
      <c r="B27" s="228">
        <f>+'Static part-Y'!C27</f>
        <v>33.4</v>
      </c>
      <c r="C27" s="229">
        <f>'Static part-Y'!K27</f>
        <v>12.123868363265426</v>
      </c>
      <c r="D27" s="229">
        <f>'Static part-X'!K27</f>
        <v>6.789366283428638</v>
      </c>
      <c r="E27" s="229">
        <f>+'Dynamic- X1'!K35</f>
        <v>4.55228835297483</v>
      </c>
      <c r="F27" s="229">
        <f>+'Dynamic-X2'!K35</f>
        <v>4.325597337822818</v>
      </c>
      <c r="G27" s="229">
        <f>'Dynamic-X3'!K35</f>
        <v>1.8233653863248473</v>
      </c>
      <c r="H27" s="229">
        <f>+'Dynamic-Y1'!K35</f>
        <v>8.003869979846225</v>
      </c>
      <c r="I27" s="229">
        <f>+'Dynamic-Y2'!K35</f>
        <v>7.380381786855121</v>
      </c>
      <c r="J27" s="229">
        <f>'Dynamic-Y3'!K35</f>
        <v>5.334522086203501</v>
      </c>
      <c r="K27" s="229">
        <f t="shared" si="0"/>
        <v>13.328386310134299</v>
      </c>
      <c r="L27" s="230">
        <f t="shared" si="1"/>
        <v>24.24777432884514</v>
      </c>
      <c r="M27" s="231" t="str">
        <f>'Static part-Y'!L27</f>
        <v>D</v>
      </c>
      <c r="N27" s="126">
        <f t="shared" si="2"/>
        <v>1.963126712233214</v>
      </c>
      <c r="O27" s="247">
        <f t="shared" si="3"/>
        <v>2.0000031015112634</v>
      </c>
      <c r="P27" s="194"/>
      <c r="Q27" s="194"/>
      <c r="R27" s="194"/>
      <c r="S27" s="194"/>
    </row>
    <row r="28" spans="1:19" ht="15.75" customHeight="1">
      <c r="A28" s="227">
        <f>+'Static part-Y'!A28</f>
        <v>12</v>
      </c>
      <c r="B28" s="228">
        <f>+'Static part-Y'!C28</f>
        <v>36.4</v>
      </c>
      <c r="C28" s="229">
        <f>'Static part-Y'!K28</f>
        <v>12.27074414079792</v>
      </c>
      <c r="D28" s="229">
        <f>'Static part-X'!K28</f>
        <v>6.871616718846836</v>
      </c>
      <c r="E28" s="229">
        <f>+'Dynamic- X1'!K36</f>
        <v>4.8099650521998205</v>
      </c>
      <c r="F28" s="229">
        <f>+'Dynamic-X2'!K36</f>
        <v>4.730149606827831</v>
      </c>
      <c r="G28" s="229">
        <f>'Dynamic-X3'!K36</f>
        <v>2.3443269252748036</v>
      </c>
      <c r="H28" s="229">
        <f>+'Dynamic-Y1'!K36</f>
        <v>8.441581619369066</v>
      </c>
      <c r="I28" s="229">
        <f>+'Dynamic-Y2'!K36</f>
        <v>8.090033881745038</v>
      </c>
      <c r="J28" s="229">
        <f>'Dynamic-Y3'!K36</f>
        <v>6.584800700157447</v>
      </c>
      <c r="K28" s="229">
        <f t="shared" si="0"/>
        <v>14.013461567268392</v>
      </c>
      <c r="L28" s="230">
        <f t="shared" si="1"/>
        <v>25.68970642202691</v>
      </c>
      <c r="M28" s="231" t="str">
        <f>'Static part-Y'!L28</f>
        <v>D</v>
      </c>
      <c r="N28" s="126">
        <f t="shared" si="2"/>
        <v>2.039325262253578</v>
      </c>
      <c r="O28" s="247">
        <f t="shared" si="3"/>
        <v>2.0935736355722274</v>
      </c>
      <c r="P28" s="194"/>
      <c r="Q28" s="194"/>
      <c r="R28" s="194"/>
      <c r="S28" s="194"/>
    </row>
    <row r="29" spans="1:19" ht="15.75" customHeight="1">
      <c r="A29" s="227">
        <f>+'Static part-Y'!A29</f>
        <v>13</v>
      </c>
      <c r="B29" s="228">
        <f>+'Static part-Y'!C29</f>
        <v>39.4</v>
      </c>
      <c r="C29" s="229">
        <f>'Static part-Y'!K29</f>
        <v>12.407554114297163</v>
      </c>
      <c r="D29" s="229">
        <f>'Static part-X'!K29</f>
        <v>6.948230304006412</v>
      </c>
      <c r="E29" s="229">
        <f>+'Dynamic- X1'!K37</f>
        <v>4.9817495183498135</v>
      </c>
      <c r="F29" s="229">
        <f>+'Dynamic-X2'!K37</f>
        <v>5.103582470524764</v>
      </c>
      <c r="G29" s="229">
        <f>'Dynamic-X3'!K37</f>
        <v>2.735048079487271</v>
      </c>
      <c r="H29" s="229">
        <f>+'Dynamic-Y1'!K37</f>
        <v>8.816763024674358</v>
      </c>
      <c r="I29" s="229">
        <f>+'Dynamic-Y2'!K37</f>
        <v>8.799685976634953</v>
      </c>
      <c r="J29" s="229">
        <f>'Dynamic-Y3'!K37</f>
        <v>7.751727406514461</v>
      </c>
      <c r="K29" s="229">
        <f t="shared" si="0"/>
        <v>14.586611696299759</v>
      </c>
      <c r="L29" s="230">
        <f t="shared" si="1"/>
        <v>27.07926367063579</v>
      </c>
      <c r="M29" s="231" t="str">
        <f>'Static part-Y'!L29</f>
        <v>D</v>
      </c>
      <c r="N29" s="126">
        <f t="shared" si="2"/>
        <v>2.099327606899988</v>
      </c>
      <c r="O29" s="247">
        <f t="shared" si="3"/>
        <v>2.182482012263198</v>
      </c>
      <c r="P29" s="194"/>
      <c r="Q29" s="194"/>
      <c r="R29" s="194"/>
      <c r="S29" s="194"/>
    </row>
    <row r="30" spans="1:19" ht="15" customHeight="1">
      <c r="A30" s="227">
        <f>+'Static part-Y'!A30</f>
        <v>14</v>
      </c>
      <c r="B30" s="228">
        <f>+'Static part-Y'!C30</f>
        <v>42.4</v>
      </c>
      <c r="C30" s="229">
        <f>'Static part-Y'!K30</f>
        <v>11.699968796472927</v>
      </c>
      <c r="D30" s="229">
        <f>'Static part-X'!K30</f>
        <v>6.5519825260248385</v>
      </c>
      <c r="E30" s="229">
        <f>+'Dynamic- X1'!K38</f>
        <v>3.7780232035824413</v>
      </c>
      <c r="F30" s="229">
        <f>+'Dynamic-X2'!K38</f>
        <v>4.226489828717485</v>
      </c>
      <c r="G30" s="229">
        <f>'Dynamic-X3'!K38</f>
        <v>2.91460388659377</v>
      </c>
      <c r="H30" s="229">
        <f>+'Dynamic-Y1'!K38</f>
        <v>6.8519513557723615</v>
      </c>
      <c r="I30" s="229">
        <f>+'Dynamic-Y2'!K38</f>
        <v>7.228618280026376</v>
      </c>
      <c r="J30" s="229">
        <f>'Dynamic-Y3'!K38</f>
        <v>7.139608430201324</v>
      </c>
      <c r="K30" s="229">
        <f t="shared" si="0"/>
        <v>12.926273970162548</v>
      </c>
      <c r="L30" s="230">
        <f t="shared" si="1"/>
        <v>23.95460743483367</v>
      </c>
      <c r="M30" s="231" t="str">
        <f>'Static part-Y'!L30</f>
        <v>D</v>
      </c>
      <c r="N30" s="126">
        <f t="shared" si="2"/>
        <v>1.9728797991781373</v>
      </c>
      <c r="O30" s="247">
        <f t="shared" si="3"/>
        <v>2.0474078052289357</v>
      </c>
      <c r="P30" s="194"/>
      <c r="Q30" s="194"/>
      <c r="R30" s="194"/>
      <c r="S30" s="194"/>
    </row>
    <row r="31" spans="1:19" ht="13.5" customHeight="1">
      <c r="A31" s="227">
        <f>+'Static part-Y'!A31</f>
        <v>15</v>
      </c>
      <c r="B31" s="228">
        <f>+'Static part-Y'!C31</f>
        <v>45</v>
      </c>
      <c r="C31" s="229">
        <f>'Static part-Y'!K31</f>
        <v>5.4775778220541795</v>
      </c>
      <c r="D31" s="229">
        <f>'Static part-X'!K31</f>
        <v>3.06744358035034</v>
      </c>
      <c r="E31" s="229">
        <f>+'Dynamic- X1'!K39</f>
        <v>0.17971405956296307</v>
      </c>
      <c r="F31" s="229">
        <f>+'Dynamic-X2'!K39</f>
        <v>0.8247489884998688</v>
      </c>
      <c r="G31" s="229">
        <f>'Dynamic-X3'!K39</f>
        <v>1.7076954672872928</v>
      </c>
      <c r="H31" s="229">
        <f>+'Dynamic-Y1'!K39</f>
        <v>1.1251661736501812</v>
      </c>
      <c r="I31" s="229">
        <f>+'Dynamic-Y2'!K39</f>
        <v>1.3462363074170915</v>
      </c>
      <c r="J31" s="229">
        <f>'Dynamic-Y3'!K39</f>
        <v>1.7091090739266521</v>
      </c>
      <c r="K31" s="229">
        <f t="shared" si="0"/>
        <v>4.97236663554961</v>
      </c>
      <c r="L31" s="230">
        <f t="shared" si="1"/>
        <v>7.926946095775593</v>
      </c>
      <c r="M31" s="231" t="str">
        <f>'Static part-Y'!L31</f>
        <v>D</v>
      </c>
      <c r="N31" s="126">
        <f t="shared" si="2"/>
        <v>1.6210132331045854</v>
      </c>
      <c r="O31" s="247">
        <f t="shared" si="3"/>
        <v>1.4471626608132535</v>
      </c>
      <c r="P31" s="194"/>
      <c r="Q31" s="194"/>
      <c r="R31" s="194"/>
      <c r="S31" s="194"/>
    </row>
    <row r="32" spans="1:17" ht="13.5" customHeight="1">
      <c r="A32" s="215"/>
      <c r="B32" s="212"/>
      <c r="C32" s="212"/>
      <c r="D32" s="212"/>
      <c r="E32" s="232"/>
      <c r="F32" s="233"/>
      <c r="G32" s="233"/>
      <c r="H32" s="232"/>
      <c r="I32" s="232"/>
      <c r="J32" s="232"/>
      <c r="K32" s="232"/>
      <c r="L32" s="234"/>
      <c r="M32" s="235"/>
      <c r="N32" s="196"/>
      <c r="O32" s="248"/>
      <c r="P32" s="194"/>
      <c r="Q32" s="194"/>
    </row>
    <row r="33" spans="1:17" ht="13.5" customHeight="1">
      <c r="A33" s="278" t="s">
        <v>106</v>
      </c>
      <c r="B33" s="279"/>
      <c r="C33" s="279"/>
      <c r="D33" s="279"/>
      <c r="E33" s="279"/>
      <c r="F33" s="279"/>
      <c r="G33" s="279"/>
      <c r="H33" s="236"/>
      <c r="I33" s="236"/>
      <c r="J33" s="236"/>
      <c r="K33" s="236"/>
      <c r="L33" s="237"/>
      <c r="M33" s="235"/>
      <c r="N33" s="196"/>
      <c r="O33" s="248"/>
      <c r="P33" s="194"/>
      <c r="Q33" s="194"/>
    </row>
    <row r="34" spans="1:17" ht="13.5" customHeight="1">
      <c r="A34" s="215"/>
      <c r="B34" s="238"/>
      <c r="C34" s="239"/>
      <c r="D34" s="239"/>
      <c r="E34" s="239"/>
      <c r="F34" s="212"/>
      <c r="G34" s="212"/>
      <c r="H34" s="235"/>
      <c r="I34" s="235"/>
      <c r="J34" s="235"/>
      <c r="K34" s="235"/>
      <c r="L34" s="234"/>
      <c r="M34" s="235"/>
      <c r="N34" s="196"/>
      <c r="O34" s="248"/>
      <c r="P34" s="194"/>
      <c r="Q34" s="194"/>
    </row>
    <row r="35" spans="1:17" ht="13.5" customHeight="1">
      <c r="A35" s="215"/>
      <c r="B35" s="212"/>
      <c r="C35" s="212"/>
      <c r="D35" s="212"/>
      <c r="E35" s="232"/>
      <c r="F35" s="233"/>
      <c r="G35" s="212"/>
      <c r="H35" s="235"/>
      <c r="I35" s="235"/>
      <c r="J35" s="235"/>
      <c r="K35" s="235"/>
      <c r="L35" s="234"/>
      <c r="M35" s="235"/>
      <c r="N35" s="196"/>
      <c r="O35" s="248"/>
      <c r="P35" s="194"/>
      <c r="Q35" s="194"/>
    </row>
    <row r="36" spans="1:17" ht="13.5" customHeight="1">
      <c r="A36" s="215"/>
      <c r="B36" s="212"/>
      <c r="C36" s="212"/>
      <c r="D36" s="212"/>
      <c r="E36" s="232"/>
      <c r="F36" s="233"/>
      <c r="G36" s="212"/>
      <c r="H36" s="235"/>
      <c r="I36" s="235"/>
      <c r="J36" s="235"/>
      <c r="K36" s="235"/>
      <c r="L36" s="234"/>
      <c r="M36" s="235"/>
      <c r="N36" s="196"/>
      <c r="O36" s="248"/>
      <c r="P36" s="194"/>
      <c r="Q36" s="194"/>
    </row>
    <row r="37" spans="1:17" ht="13.5" thickBot="1">
      <c r="A37" s="240"/>
      <c r="B37" s="241"/>
      <c r="C37" s="241"/>
      <c r="D37" s="241"/>
      <c r="E37" s="241"/>
      <c r="F37" s="241"/>
      <c r="G37" s="242"/>
      <c r="H37" s="235"/>
      <c r="I37" s="235"/>
      <c r="J37" s="235"/>
      <c r="K37" s="235"/>
      <c r="L37" s="234"/>
      <c r="M37" s="235"/>
      <c r="N37" s="196"/>
      <c r="O37" s="248"/>
      <c r="P37" s="194"/>
      <c r="Q37" s="194"/>
    </row>
    <row r="38" spans="1:17" ht="12.75">
      <c r="A38" s="215"/>
      <c r="B38" s="212"/>
      <c r="C38" s="212"/>
      <c r="D38" s="212"/>
      <c r="E38" s="212"/>
      <c r="F38" s="212"/>
      <c r="G38" s="212"/>
      <c r="H38" s="235"/>
      <c r="I38" s="235"/>
      <c r="J38" s="235"/>
      <c r="K38" s="235"/>
      <c r="L38" s="234"/>
      <c r="M38" s="235"/>
      <c r="N38" s="196"/>
      <c r="O38" s="248"/>
      <c r="P38" s="194"/>
      <c r="Q38" s="194"/>
    </row>
    <row r="39" spans="1:17" ht="12.75">
      <c r="A39" s="215"/>
      <c r="B39" s="212"/>
      <c r="C39" s="212"/>
      <c r="D39" s="212"/>
      <c r="E39" s="212"/>
      <c r="F39" s="212"/>
      <c r="G39" s="212"/>
      <c r="H39" s="235"/>
      <c r="I39" s="235"/>
      <c r="J39" s="235"/>
      <c r="K39" s="235"/>
      <c r="L39" s="234"/>
      <c r="M39" s="235"/>
      <c r="N39" s="196"/>
      <c r="O39" s="248"/>
      <c r="P39" s="194"/>
      <c r="Q39" s="194"/>
    </row>
    <row r="40" spans="1:14" ht="12.75">
      <c r="A40" s="215"/>
      <c r="B40" s="212"/>
      <c r="C40" s="212"/>
      <c r="D40" s="212"/>
      <c r="E40" s="212"/>
      <c r="F40" s="212"/>
      <c r="G40" s="212"/>
      <c r="H40" s="235"/>
      <c r="I40" s="235"/>
      <c r="J40" s="235"/>
      <c r="K40" s="235"/>
      <c r="L40" s="234"/>
      <c r="M40" s="235"/>
      <c r="N40" s="196"/>
    </row>
    <row r="41" spans="1:14" ht="12.75">
      <c r="A41" s="215"/>
      <c r="B41" s="212"/>
      <c r="C41" s="212"/>
      <c r="D41" s="212"/>
      <c r="E41" s="212"/>
      <c r="F41" s="212"/>
      <c r="G41" s="212"/>
      <c r="H41" s="235"/>
      <c r="I41" s="235"/>
      <c r="J41" s="235"/>
      <c r="K41" s="235"/>
      <c r="L41" s="234"/>
      <c r="M41" s="235"/>
      <c r="N41" s="196"/>
    </row>
    <row r="42" spans="1:14" ht="12.75">
      <c r="A42" s="215"/>
      <c r="B42" s="212"/>
      <c r="C42" s="212"/>
      <c r="D42" s="212"/>
      <c r="E42" s="212"/>
      <c r="F42" s="212"/>
      <c r="G42" s="212"/>
      <c r="H42" s="235"/>
      <c r="I42" s="235"/>
      <c r="J42" s="235"/>
      <c r="K42" s="235"/>
      <c r="L42" s="234"/>
      <c r="M42" s="235"/>
      <c r="N42" s="196"/>
    </row>
    <row r="43" spans="1:14" ht="12.75">
      <c r="A43" s="215"/>
      <c r="B43" s="212"/>
      <c r="C43" s="212"/>
      <c r="D43" s="212"/>
      <c r="E43" s="212"/>
      <c r="F43" s="212"/>
      <c r="G43" s="212"/>
      <c r="H43" s="235"/>
      <c r="I43" s="235"/>
      <c r="J43" s="235"/>
      <c r="K43" s="235"/>
      <c r="L43" s="234"/>
      <c r="M43" s="235"/>
      <c r="N43" s="196"/>
    </row>
    <row r="44" spans="1:14" ht="12.75">
      <c r="A44" s="215"/>
      <c r="B44" s="212"/>
      <c r="C44" s="212"/>
      <c r="D44" s="212"/>
      <c r="E44" s="212"/>
      <c r="F44" s="212"/>
      <c r="G44" s="212"/>
      <c r="H44" s="235"/>
      <c r="I44" s="235"/>
      <c r="J44" s="235"/>
      <c r="K44" s="235"/>
      <c r="L44" s="234"/>
      <c r="M44" s="235"/>
      <c r="N44" s="196"/>
    </row>
    <row r="45" spans="1:14" ht="13.5" thickBot="1">
      <c r="A45" s="243"/>
      <c r="B45" s="241"/>
      <c r="C45" s="241"/>
      <c r="D45" s="241"/>
      <c r="E45" s="241"/>
      <c r="F45" s="241"/>
      <c r="G45" s="241"/>
      <c r="H45" s="244"/>
      <c r="I45" s="244"/>
      <c r="J45" s="244"/>
      <c r="K45" s="244"/>
      <c r="L45" s="245"/>
      <c r="M45" s="244"/>
      <c r="N45" s="196"/>
    </row>
  </sheetData>
  <sheetProtection formatCells="0" formatColumns="0" formatRows="0" insertColumns="0" insertRows="0" insertHyperlinks="0" deleteColumns="0" deleteRows="0" sort="0" autoFilter="0" pivotTables="0"/>
  <mergeCells count="24">
    <mergeCell ref="J3:K3"/>
    <mergeCell ref="A1:H1"/>
    <mergeCell ref="A5:B5"/>
    <mergeCell ref="A4:B4"/>
    <mergeCell ref="A15:A16"/>
    <mergeCell ref="A2:B2"/>
    <mergeCell ref="K2:L2"/>
    <mergeCell ref="M15:M16"/>
    <mergeCell ref="K15:L15"/>
    <mergeCell ref="N15:N16"/>
    <mergeCell ref="C15:D15"/>
    <mergeCell ref="E15:J15"/>
    <mergeCell ref="A33:G33"/>
    <mergeCell ref="C2:D2"/>
    <mergeCell ref="C3:D3"/>
    <mergeCell ref="C4:D4"/>
    <mergeCell ref="F9:G9"/>
    <mergeCell ref="F10:G10"/>
    <mergeCell ref="F11:H11"/>
    <mergeCell ref="A9:C9"/>
    <mergeCell ref="A10:C10"/>
    <mergeCell ref="A11:C11"/>
    <mergeCell ref="A3:B3"/>
    <mergeCell ref="B15:B16"/>
  </mergeCells>
  <dataValidations count="2">
    <dataValidation type="list" allowBlank="1" showInputMessage="1" showErrorMessage="1" sqref="K10">
      <formula1>$Q$2:$Q$4</formula1>
    </dataValidation>
    <dataValidation type="list" allowBlank="1" showInputMessage="1" showErrorMessage="1" sqref="K9">
      <formula1>$R$2:$R$4</formula1>
    </dataValidation>
  </dataValidations>
  <printOptions horizontalCentered="1" verticalCentered="1"/>
  <pageMargins left="0.75" right="0.75" top="0.37" bottom="0.54" header="0.5" footer="0.51"/>
  <pageSetup blackAndWhite="1" horizontalDpi="600" verticalDpi="600" orientation="portrait" scale="85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="125" zoomScaleSheetLayoutView="125" zoomScalePageLayoutView="0" workbookViewId="0" topLeftCell="A7">
      <selection activeCell="E4" sqref="E4"/>
    </sheetView>
  </sheetViews>
  <sheetFormatPr defaultColWidth="9.140625" defaultRowHeight="12.75"/>
  <cols>
    <col min="1" max="7" width="8.7109375" style="96" customWidth="1"/>
    <col min="8" max="8" width="8.7109375" style="177" customWidth="1"/>
    <col min="9" max="12" width="8.7109375" style="96" customWidth="1"/>
    <col min="13" max="16384" width="9.140625" style="96" customWidth="1"/>
  </cols>
  <sheetData>
    <row r="1" spans="1:23" ht="40.5" customHeight="1">
      <c r="A1" s="251" t="s">
        <v>125</v>
      </c>
      <c r="B1" s="252"/>
      <c r="C1" s="252"/>
      <c r="D1" s="252"/>
      <c r="E1" s="252"/>
      <c r="F1" s="252"/>
      <c r="G1" s="252"/>
      <c r="H1" s="252"/>
      <c r="I1" s="252"/>
      <c r="J1" s="197"/>
      <c r="K1" s="253"/>
      <c r="L1" s="253"/>
      <c r="T1" s="8"/>
      <c r="U1" s="8"/>
      <c r="V1" s="8"/>
      <c r="W1" s="8"/>
    </row>
    <row r="2" spans="1:30" ht="13.5" customHeight="1">
      <c r="A2" s="261" t="s">
        <v>51</v>
      </c>
      <c r="B2" s="262"/>
      <c r="C2" s="101" t="s">
        <v>52</v>
      </c>
      <c r="D2" s="4"/>
      <c r="E2" s="101"/>
      <c r="F2" s="2"/>
      <c r="G2" s="2"/>
      <c r="H2" s="178"/>
      <c r="I2" s="264">
        <f ca="1">TODAY()</f>
        <v>42500</v>
      </c>
      <c r="J2" s="264"/>
      <c r="K2" s="4"/>
      <c r="L2" s="103"/>
      <c r="P2" s="96" t="s">
        <v>14</v>
      </c>
      <c r="Q2" s="96" t="s">
        <v>0</v>
      </c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3.5" customHeight="1">
      <c r="A3" s="261" t="str">
        <f>IF($J$3="Vietnam","Tên công trình:","Project:")</f>
        <v>Project:</v>
      </c>
      <c r="B3" s="262"/>
      <c r="C3" s="101"/>
      <c r="D3" s="4"/>
      <c r="E3" s="101"/>
      <c r="F3" s="2"/>
      <c r="G3" s="2"/>
      <c r="H3" s="263" t="str">
        <f>IF($J$3="Vietnam","Ngôn ngữ:","Language:")</f>
        <v>Language:</v>
      </c>
      <c r="I3" s="263"/>
      <c r="J3" s="114" t="s">
        <v>50</v>
      </c>
      <c r="K3" s="4"/>
      <c r="L3" s="103"/>
      <c r="P3" s="96" t="s">
        <v>15</v>
      </c>
      <c r="Q3" s="96" t="s">
        <v>1</v>
      </c>
      <c r="R3"/>
      <c r="S3"/>
      <c r="T3"/>
      <c r="U3"/>
      <c r="V3"/>
      <c r="W3"/>
      <c r="X3"/>
      <c r="Y3"/>
      <c r="Z3"/>
      <c r="AA3"/>
      <c r="AB3"/>
      <c r="AC3"/>
      <c r="AD3"/>
    </row>
    <row r="4" spans="1:23" ht="13.5" customHeight="1">
      <c r="A4" s="261" t="str">
        <f>IF($J$3="Vietnam","Người thực hiện:","Computed by")</f>
        <v>Computed by</v>
      </c>
      <c r="B4" s="262"/>
      <c r="C4" s="101"/>
      <c r="D4" s="4"/>
      <c r="E4" s="101"/>
      <c r="F4" s="2"/>
      <c r="G4" s="3"/>
      <c r="H4" s="174"/>
      <c r="I4" s="4"/>
      <c r="J4" s="4"/>
      <c r="K4" s="4"/>
      <c r="L4" s="103"/>
      <c r="P4" s="96" t="s">
        <v>16</v>
      </c>
      <c r="Q4" s="96" t="s">
        <v>2</v>
      </c>
      <c r="T4" s="8"/>
      <c r="U4" s="8"/>
      <c r="V4" s="8"/>
      <c r="W4" s="8"/>
    </row>
    <row r="5" spans="1:23" ht="13.5" customHeight="1">
      <c r="A5" s="100" t="s">
        <v>53</v>
      </c>
      <c r="B5" s="101"/>
      <c r="C5" s="148" t="s">
        <v>4</v>
      </c>
      <c r="D5" s="4"/>
      <c r="E5" s="101"/>
      <c r="F5" s="2"/>
      <c r="G5" s="3"/>
      <c r="H5" s="174"/>
      <c r="I5" s="4"/>
      <c r="J5" s="4"/>
      <c r="K5" s="4"/>
      <c r="L5" s="103"/>
      <c r="T5" s="8"/>
      <c r="U5" s="8"/>
      <c r="V5" s="8"/>
      <c r="W5" s="8"/>
    </row>
    <row r="6" spans="1:23" ht="3.75" customHeight="1" hidden="1">
      <c r="A6" s="102"/>
      <c r="B6" s="2"/>
      <c r="C6" s="2"/>
      <c r="D6" s="4"/>
      <c r="E6" s="2"/>
      <c r="F6" s="2"/>
      <c r="G6" s="3"/>
      <c r="H6" s="174"/>
      <c r="I6" s="4"/>
      <c r="J6" s="4"/>
      <c r="K6" s="4"/>
      <c r="L6" s="103"/>
      <c r="T6" s="8"/>
      <c r="U6" s="8"/>
      <c r="V6" s="8"/>
      <c r="W6" s="8"/>
    </row>
    <row r="7" spans="1:23" ht="13.5" customHeight="1">
      <c r="A7" s="99" t="s">
        <v>54</v>
      </c>
      <c r="B7" s="2"/>
      <c r="C7" s="2"/>
      <c r="D7" s="4"/>
      <c r="E7" s="2"/>
      <c r="F7" s="2"/>
      <c r="G7" s="3"/>
      <c r="H7" s="174"/>
      <c r="I7" s="4"/>
      <c r="J7" s="4"/>
      <c r="K7" s="4"/>
      <c r="L7" s="103"/>
      <c r="T7" s="8"/>
      <c r="U7" s="8"/>
      <c r="V7" s="8"/>
      <c r="W7" s="8"/>
    </row>
    <row r="8" spans="1:23" ht="4.5" customHeight="1">
      <c r="A8" s="99"/>
      <c r="B8" s="101"/>
      <c r="C8" s="101"/>
      <c r="D8" s="4"/>
      <c r="E8" s="101"/>
      <c r="F8" s="101"/>
      <c r="G8" s="114"/>
      <c r="H8" s="174"/>
      <c r="I8" s="4"/>
      <c r="J8" s="4"/>
      <c r="K8" s="4"/>
      <c r="L8" s="103"/>
      <c r="T8" s="8"/>
      <c r="U8" s="8"/>
      <c r="V8" s="8"/>
      <c r="W8" s="8"/>
    </row>
    <row r="9" spans="1:19" ht="13.5" customHeight="1">
      <c r="A9" s="116" t="s">
        <v>55</v>
      </c>
      <c r="B9" s="4"/>
      <c r="C9" s="4"/>
      <c r="D9" s="141">
        <f>'Static part-Y'!D9</f>
        <v>45</v>
      </c>
      <c r="E9" s="101" t="s">
        <v>3</v>
      </c>
      <c r="F9" s="117" t="s">
        <v>58</v>
      </c>
      <c r="G9" s="4"/>
      <c r="H9" s="174"/>
      <c r="I9" s="142" t="s">
        <v>1</v>
      </c>
      <c r="J9" s="114"/>
      <c r="K9" s="4"/>
      <c r="L9" s="103"/>
      <c r="R9" s="97">
        <v>1.4</v>
      </c>
      <c r="S9" s="98">
        <v>0.095</v>
      </c>
    </row>
    <row r="10" spans="1:19" ht="13.5" customHeight="1">
      <c r="A10" s="116" t="s">
        <v>56</v>
      </c>
      <c r="B10" s="4"/>
      <c r="C10" s="4"/>
      <c r="D10" s="141">
        <f>'Static part-Y'!D10</f>
        <v>25</v>
      </c>
      <c r="E10" s="4" t="s">
        <v>3</v>
      </c>
      <c r="F10" s="117" t="s">
        <v>59</v>
      </c>
      <c r="G10" s="4"/>
      <c r="H10" s="174"/>
      <c r="I10" s="142" t="s">
        <v>14</v>
      </c>
      <c r="J10" s="4"/>
      <c r="K10" s="4"/>
      <c r="L10" s="103"/>
      <c r="R10" s="97">
        <v>1.2</v>
      </c>
      <c r="S10" s="8"/>
    </row>
    <row r="11" spans="1:12" ht="13.5" customHeight="1">
      <c r="A11" s="116" t="s">
        <v>57</v>
      </c>
      <c r="B11" s="4"/>
      <c r="C11" s="4"/>
      <c r="D11" s="141">
        <f>'Static part-Y'!n</f>
        <v>14</v>
      </c>
      <c r="E11" s="101" t="s">
        <v>3</v>
      </c>
      <c r="F11" s="117" t="s">
        <v>60</v>
      </c>
      <c r="G11" s="4"/>
      <c r="H11" s="174"/>
      <c r="I11" s="141">
        <f>'Static part-Y'!I11</f>
        <v>0.083</v>
      </c>
      <c r="J11" s="114"/>
      <c r="K11" s="4"/>
      <c r="L11" s="103"/>
    </row>
    <row r="12" spans="1:12" ht="4.5" customHeight="1">
      <c r="A12" s="116"/>
      <c r="B12" s="4"/>
      <c r="C12" s="4"/>
      <c r="D12" s="101"/>
      <c r="E12" s="101"/>
      <c r="F12" s="117"/>
      <c r="G12" s="4"/>
      <c r="H12" s="174"/>
      <c r="I12" s="4"/>
      <c r="J12" s="114"/>
      <c r="K12" s="4"/>
      <c r="L12" s="103"/>
    </row>
    <row r="13" spans="1:12" ht="13.5" customHeight="1">
      <c r="A13" s="99" t="s">
        <v>109</v>
      </c>
      <c r="B13" s="101"/>
      <c r="C13" s="101"/>
      <c r="D13" s="101"/>
      <c r="E13" s="5"/>
      <c r="F13" s="6"/>
      <c r="G13" s="7"/>
      <c r="H13" s="174"/>
      <c r="I13" s="4"/>
      <c r="J13" s="4"/>
      <c r="K13" s="4"/>
      <c r="L13" s="103"/>
    </row>
    <row r="14" spans="1:12" ht="13.5" customHeight="1">
      <c r="A14" s="99"/>
      <c r="B14" s="101"/>
      <c r="C14" s="101"/>
      <c r="D14" s="101"/>
      <c r="E14" s="5"/>
      <c r="F14" s="6"/>
      <c r="G14" s="7"/>
      <c r="H14" s="174"/>
      <c r="I14" s="4"/>
      <c r="J14" s="4"/>
      <c r="K14" s="4"/>
      <c r="L14" s="103"/>
    </row>
    <row r="15" spans="1:16" ht="21.75" customHeight="1">
      <c r="A15" s="254" t="str">
        <f>'Static part-Y'!A15:A16</f>
        <v>Stories</v>
      </c>
      <c r="B15" s="256" t="str">
        <f>'Static part-Y'!B15:B16</f>
        <v>Storey
Height</v>
      </c>
      <c r="C15" s="256" t="str">
        <f>'Static part-Y'!C15:C16</f>
        <v>Levels</v>
      </c>
      <c r="D15" s="256" t="str">
        <f>'Static part-Y'!D15:D16</f>
        <v>Height
Factor
k</v>
      </c>
      <c r="E15" s="258" t="str">
        <f>'Static part-Y'!E15:G15</f>
        <v>Static wind pressure (T/m2)</v>
      </c>
      <c r="F15" s="259"/>
      <c r="G15" s="260"/>
      <c r="H15" s="266" t="str">
        <f>'Static part-Y'!H15:H16</f>
        <v>Wind area (m2)</v>
      </c>
      <c r="I15" s="268" t="str">
        <f>'Static part-Y'!I15:K15</f>
        <v>Wind Force (Ton)</v>
      </c>
      <c r="J15" s="268"/>
      <c r="K15" s="268"/>
      <c r="L15" s="265" t="s">
        <v>83</v>
      </c>
      <c r="M15"/>
      <c r="N15"/>
      <c r="O15"/>
      <c r="P15"/>
    </row>
    <row r="16" spans="1:16" ht="24.75" customHeight="1">
      <c r="A16" s="255"/>
      <c r="B16" s="257"/>
      <c r="C16" s="257"/>
      <c r="D16" s="257"/>
      <c r="E16" s="33" t="str">
        <f>'Static part-Y'!E16</f>
        <v>ward side</v>
      </c>
      <c r="F16" s="118" t="str">
        <f>'Static part-Y'!F16</f>
        <v>lee side</v>
      </c>
      <c r="G16" s="118" t="str">
        <f>'Static part-Y'!G16</f>
        <v>Total</v>
      </c>
      <c r="H16" s="267"/>
      <c r="I16" s="118" t="str">
        <f>'Static part-Y'!I16</f>
        <v>ward side</v>
      </c>
      <c r="J16" s="118" t="str">
        <f>'Static part-Y'!J16</f>
        <v>lee side</v>
      </c>
      <c r="K16" s="118" t="str">
        <f>'Static part-Y'!K16</f>
        <v>Total</v>
      </c>
      <c r="L16" s="265"/>
      <c r="M16"/>
      <c r="N16"/>
      <c r="O16"/>
      <c r="P16"/>
    </row>
    <row r="17" spans="1:16" ht="13.5" customHeight="1">
      <c r="A17" s="120">
        <f>'Static part-Y'!A17</f>
        <v>1</v>
      </c>
      <c r="B17" s="121">
        <f>'Static part-Y'!B17</f>
        <v>1.2</v>
      </c>
      <c r="C17" s="122">
        <f>'Static part-Y'!C17</f>
        <v>1.2</v>
      </c>
      <c r="D17" s="122">
        <f>IF(C17&gt;0,1.844*POWER(C17/'Bảng tra K'!$E$11,2*'Bảng tra K'!$E$12),"ko tính")</f>
        <v>0.8732421494130311</v>
      </c>
      <c r="E17" s="122">
        <f>IF(D17="ko tính","---",D17*$I$11*1*0.8)</f>
        <v>0.057983278721025266</v>
      </c>
      <c r="F17" s="122">
        <f>IF(D17="ko tính","---",D17*$I$11*1*0.6)</f>
        <v>0.04348745904076895</v>
      </c>
      <c r="G17" s="127">
        <f>IF(D17="ko tính","---",E17+F17)</f>
        <v>0.10147073776179422</v>
      </c>
      <c r="H17" s="122">
        <f>(B18/2+B17)*n</f>
        <v>43.39999999999999</v>
      </c>
      <c r="I17" s="123">
        <f>+IF(D17="ko tính","---",H17*E17)</f>
        <v>2.516474296492496</v>
      </c>
      <c r="J17" s="123">
        <f>+IF(D17="ko tính","---",H17*F17)</f>
        <v>1.887355722369372</v>
      </c>
      <c r="K17" s="156">
        <f>IF(D17="ko tính","---",I17+J17)</f>
        <v>4.403830018861868</v>
      </c>
      <c r="L17" s="147" t="str">
        <f>'Static part-Y'!L17</f>
        <v>D</v>
      </c>
      <c r="M17"/>
      <c r="N17"/>
      <c r="O17"/>
      <c r="P17"/>
    </row>
    <row r="18" spans="1:16" ht="13.5" customHeight="1">
      <c r="A18" s="120">
        <f>'Static part-Y'!A18</f>
        <v>2</v>
      </c>
      <c r="B18" s="121">
        <v>3.8</v>
      </c>
      <c r="C18" s="122">
        <f>'Static part-Y'!C18</f>
        <v>5</v>
      </c>
      <c r="D18" s="122">
        <f>IF(C18&gt;0,1.844*POWER(C18/'Bảng tra K'!$E$11,2*'Bảng tra K'!$E$12),"ko tính")</f>
        <v>1.066363118652159</v>
      </c>
      <c r="E18" s="122">
        <f>IF(D18="ko tính","---",D18*$I$11*1*0.8)</f>
        <v>0.07080651107850336</v>
      </c>
      <c r="F18" s="122">
        <f>IF(D18="ko tính","---",D18*$I$11*1*0.6)</f>
        <v>0.05310488330887751</v>
      </c>
      <c r="G18" s="127">
        <f aca="true" t="shared" si="0" ref="G18:G31">IF(D18="ko tính","---",E18+F18)</f>
        <v>0.12391139438738087</v>
      </c>
      <c r="H18" s="122">
        <f aca="true" t="shared" si="1" ref="H18:H30">(B19/2+B18/2)*n</f>
        <v>49</v>
      </c>
      <c r="I18" s="123">
        <f aca="true" t="shared" si="2" ref="I18:I31">+IF(D18="ko tính","---",H18*E18)</f>
        <v>3.4695190428466645</v>
      </c>
      <c r="J18" s="123">
        <f aca="true" t="shared" si="3" ref="J18:J31">+IF(D18="ko tính","---",H18*F18)</f>
        <v>2.6021392821349982</v>
      </c>
      <c r="K18" s="156">
        <f aca="true" t="shared" si="4" ref="K18:K31">IF(D18="ko tính","---",I18+J18)</f>
        <v>6.071658324981662</v>
      </c>
      <c r="L18" s="147" t="str">
        <f>'Static part-Y'!L18</f>
        <v>D</v>
      </c>
      <c r="M18"/>
      <c r="N18"/>
      <c r="O18"/>
      <c r="P18"/>
    </row>
    <row r="19" spans="1:16" ht="13.5" customHeight="1">
      <c r="A19" s="120">
        <f>'Static part-Y'!A19</f>
        <v>3</v>
      </c>
      <c r="B19" s="121">
        <v>3.2</v>
      </c>
      <c r="C19" s="122">
        <f>'Static part-Y'!C19</f>
        <v>8.2</v>
      </c>
      <c r="D19" s="122">
        <f>IF(C19&gt;0,1.844*POWER(C19/'Bảng tra K'!$E$11,2*'Bảng tra K'!$E$12),"ko tính")</f>
        <v>1.142834269494035</v>
      </c>
      <c r="E19" s="122">
        <f aca="true" t="shared" si="5" ref="E19:E31">IF(D19="ko tính","---",D19*$I$11*1*0.8)</f>
        <v>0.07588419549440394</v>
      </c>
      <c r="F19" s="122">
        <f aca="true" t="shared" si="6" ref="F19:F31">IF(D19="ko tính","---",D19*$I$11*1*0.6)</f>
        <v>0.05691314662080294</v>
      </c>
      <c r="G19" s="127">
        <f t="shared" si="0"/>
        <v>0.13279734211520688</v>
      </c>
      <c r="H19" s="122">
        <f t="shared" si="1"/>
        <v>44.800000000000004</v>
      </c>
      <c r="I19" s="123">
        <f t="shared" si="2"/>
        <v>3.3996119581492965</v>
      </c>
      <c r="J19" s="123">
        <f t="shared" si="3"/>
        <v>2.549708968611972</v>
      </c>
      <c r="K19" s="156">
        <f t="shared" si="4"/>
        <v>5.949320926761269</v>
      </c>
      <c r="L19" s="147" t="str">
        <f>'Static part-Y'!L19</f>
        <v>D</v>
      </c>
      <c r="M19"/>
      <c r="N19"/>
      <c r="O19"/>
      <c r="P19"/>
    </row>
    <row r="20" spans="1:16" ht="13.5" customHeight="1">
      <c r="A20" s="120">
        <f>'Static part-Y'!A20</f>
        <v>4</v>
      </c>
      <c r="B20" s="121">
        <v>3.2</v>
      </c>
      <c r="C20" s="122">
        <f>'Static part-Y'!C20</f>
        <v>11.399999999999999</v>
      </c>
      <c r="D20" s="122">
        <f>IF(C20&gt;0,1.844*POWER(C20/'Bảng tra K'!$E$11,2*'Bảng tra K'!$E$12),"ko tính")</f>
        <v>1.1967846070389154</v>
      </c>
      <c r="E20" s="122">
        <f t="shared" si="5"/>
        <v>0.079466497907384</v>
      </c>
      <c r="F20" s="122">
        <f t="shared" si="6"/>
        <v>0.05959987343053799</v>
      </c>
      <c r="G20" s="127">
        <f t="shared" si="0"/>
        <v>0.139066371337922</v>
      </c>
      <c r="H20" s="122">
        <f t="shared" si="1"/>
        <v>50.4</v>
      </c>
      <c r="I20" s="123">
        <f t="shared" si="2"/>
        <v>4.005111494532153</v>
      </c>
      <c r="J20" s="123">
        <f t="shared" si="3"/>
        <v>3.0038336208991145</v>
      </c>
      <c r="K20" s="156">
        <f t="shared" si="4"/>
        <v>7.008945115431268</v>
      </c>
      <c r="L20" s="147" t="str">
        <f>'Static part-Y'!L20</f>
        <v>D</v>
      </c>
      <c r="M20"/>
      <c r="N20"/>
      <c r="O20"/>
      <c r="P20"/>
    </row>
    <row r="21" spans="1:16" ht="13.5" customHeight="1">
      <c r="A21" s="120">
        <f>'Static part-Y'!A21</f>
        <v>5</v>
      </c>
      <c r="B21" s="121">
        <v>4</v>
      </c>
      <c r="C21" s="122">
        <f>'Static part-Y'!C21</f>
        <v>15.399999999999999</v>
      </c>
      <c r="D21" s="122">
        <f>IF(C21&gt;0,1.844*POWER(C21/'Bảng tra K'!$E$11,2*'Bảng tra K'!$E$12),"ko tính")</f>
        <v>1.2482518443579529</v>
      </c>
      <c r="E21" s="122">
        <f t="shared" si="5"/>
        <v>0.08288392246536808</v>
      </c>
      <c r="F21" s="122">
        <f t="shared" si="6"/>
        <v>0.06216294184902606</v>
      </c>
      <c r="G21" s="127">
        <f t="shared" si="0"/>
        <v>0.14504686431439412</v>
      </c>
      <c r="H21" s="122">
        <f t="shared" si="1"/>
        <v>49</v>
      </c>
      <c r="I21" s="123">
        <f t="shared" si="2"/>
        <v>4.061312200803036</v>
      </c>
      <c r="J21" s="123">
        <f t="shared" si="3"/>
        <v>3.0459841506022767</v>
      </c>
      <c r="K21" s="156">
        <f t="shared" si="4"/>
        <v>7.107296351405312</v>
      </c>
      <c r="L21" s="147" t="str">
        <f>'Static part-Y'!L21</f>
        <v>D</v>
      </c>
      <c r="M21"/>
      <c r="N21"/>
      <c r="O21"/>
      <c r="P21"/>
    </row>
    <row r="22" spans="1:16" ht="13.5" customHeight="1">
      <c r="A22" s="120">
        <f>'Static part-Y'!A22</f>
        <v>6</v>
      </c>
      <c r="B22" s="121">
        <v>3</v>
      </c>
      <c r="C22" s="122">
        <f>'Static part-Y'!C22</f>
        <v>18.4</v>
      </c>
      <c r="D22" s="122">
        <f>IF(C22&gt;0,1.844*POWER(C22/'Bảng tra K'!$E$11,2*'Bảng tra K'!$E$12),"ko tính")</f>
        <v>1.2797460882251537</v>
      </c>
      <c r="E22" s="122">
        <f t="shared" si="5"/>
        <v>0.08497514025815021</v>
      </c>
      <c r="F22" s="122">
        <f t="shared" si="6"/>
        <v>0.06373135519361266</v>
      </c>
      <c r="G22" s="127">
        <f t="shared" si="0"/>
        <v>0.14870649545176287</v>
      </c>
      <c r="H22" s="122">
        <f t="shared" si="1"/>
        <v>42</v>
      </c>
      <c r="I22" s="123">
        <f t="shared" si="2"/>
        <v>3.568955890842309</v>
      </c>
      <c r="J22" s="123">
        <f t="shared" si="3"/>
        <v>2.6767169181317314</v>
      </c>
      <c r="K22" s="156">
        <f t="shared" si="4"/>
        <v>6.2456728089740405</v>
      </c>
      <c r="L22" s="147" t="str">
        <f>'Static part-Y'!L22</f>
        <v>D</v>
      </c>
      <c r="M22"/>
      <c r="N22"/>
      <c r="O22"/>
      <c r="P22"/>
    </row>
    <row r="23" spans="1:16" ht="13.5" customHeight="1">
      <c r="A23" s="120">
        <f>'Static part-Y'!A23</f>
        <v>7</v>
      </c>
      <c r="B23" s="121">
        <f>'Static part-Y'!B23</f>
        <v>3</v>
      </c>
      <c r="C23" s="122">
        <f>'Static part-Y'!C23</f>
        <v>21.4</v>
      </c>
      <c r="D23" s="122">
        <f>IF(C23&gt;0,1.844*POWER(C23/'Bảng tra K'!$E$11,2*'Bảng tra K'!$E$12),"ko tính")</f>
        <v>1.3070952721078737</v>
      </c>
      <c r="E23" s="122">
        <f t="shared" si="5"/>
        <v>0.08679112606796283</v>
      </c>
      <c r="F23" s="122">
        <f t="shared" si="6"/>
        <v>0.06509334455097211</v>
      </c>
      <c r="G23" s="127">
        <f t="shared" si="0"/>
        <v>0.15188447061893495</v>
      </c>
      <c r="H23" s="122">
        <f t="shared" si="1"/>
        <v>42</v>
      </c>
      <c r="I23" s="123">
        <f t="shared" si="2"/>
        <v>3.645227294854439</v>
      </c>
      <c r="J23" s="123">
        <f t="shared" si="3"/>
        <v>2.733920471140829</v>
      </c>
      <c r="K23" s="156">
        <f t="shared" si="4"/>
        <v>6.379147765995268</v>
      </c>
      <c r="L23" s="147" t="str">
        <f>'Static part-Y'!L23</f>
        <v>D</v>
      </c>
      <c r="M23"/>
      <c r="N23"/>
      <c r="O23"/>
      <c r="P23"/>
    </row>
    <row r="24" spans="1:16" ht="13.5" customHeight="1">
      <c r="A24" s="120">
        <f>'Static part-Y'!A24</f>
        <v>8</v>
      </c>
      <c r="B24" s="121">
        <f>'Static part-Y'!B24</f>
        <v>3</v>
      </c>
      <c r="C24" s="122">
        <f>'Static part-Y'!C24</f>
        <v>24.4</v>
      </c>
      <c r="D24" s="122">
        <f>IF(C24&gt;0,1.844*POWER(C24/'Bảng tra K'!$E$11,2*'Bảng tra K'!$E$12),"ko tính")</f>
        <v>1.3313243985590621</v>
      </c>
      <c r="E24" s="122">
        <f t="shared" si="5"/>
        <v>0.08839994006432174</v>
      </c>
      <c r="F24" s="122">
        <f t="shared" si="6"/>
        <v>0.0662999550482413</v>
      </c>
      <c r="G24" s="127">
        <f t="shared" si="0"/>
        <v>0.15469989511256305</v>
      </c>
      <c r="H24" s="122">
        <f t="shared" si="1"/>
        <v>42</v>
      </c>
      <c r="I24" s="123">
        <f t="shared" si="2"/>
        <v>3.712797482701513</v>
      </c>
      <c r="J24" s="123">
        <f t="shared" si="3"/>
        <v>2.7845981120261345</v>
      </c>
      <c r="K24" s="156">
        <f t="shared" si="4"/>
        <v>6.497395594727648</v>
      </c>
      <c r="L24" s="147" t="str">
        <f>'Static part-Y'!L24</f>
        <v>D</v>
      </c>
      <c r="M24"/>
      <c r="N24"/>
      <c r="O24"/>
      <c r="P24"/>
    </row>
    <row r="25" spans="1:16" ht="13.5" customHeight="1">
      <c r="A25" s="120">
        <f>'Static part-Y'!A25</f>
        <v>9</v>
      </c>
      <c r="B25" s="121">
        <f>'Static part-Y'!B25</f>
        <v>3</v>
      </c>
      <c r="C25" s="122">
        <f>'Static part-Y'!C25</f>
        <v>27.4</v>
      </c>
      <c r="D25" s="122">
        <f>IF(C25&gt;0,1.844*POWER(C25/'Bảng tra K'!$E$11,2*'Bảng tra K'!$E$12),"ko tính")</f>
        <v>1.3531140211944075</v>
      </c>
      <c r="E25" s="122">
        <f t="shared" si="5"/>
        <v>0.08984677100730866</v>
      </c>
      <c r="F25" s="122">
        <f t="shared" si="6"/>
        <v>0.06738507825548148</v>
      </c>
      <c r="G25" s="127">
        <f t="shared" si="0"/>
        <v>0.15723184926279016</v>
      </c>
      <c r="H25" s="122">
        <f t="shared" si="1"/>
        <v>42</v>
      </c>
      <c r="I25" s="123">
        <f t="shared" si="2"/>
        <v>3.773564382306964</v>
      </c>
      <c r="J25" s="123">
        <f t="shared" si="3"/>
        <v>2.8301732867302225</v>
      </c>
      <c r="K25" s="156">
        <f t="shared" si="4"/>
        <v>6.603737669037186</v>
      </c>
      <c r="L25" s="147" t="str">
        <f>'Static part-Y'!L25</f>
        <v>D</v>
      </c>
      <c r="M25"/>
      <c r="N25"/>
      <c r="O25"/>
      <c r="P25"/>
    </row>
    <row r="26" spans="1:16" ht="13.5" customHeight="1">
      <c r="A26" s="120">
        <f>'Static part-Y'!A26</f>
        <v>10</v>
      </c>
      <c r="B26" s="121">
        <f>'Static part-Y'!B26</f>
        <v>3</v>
      </c>
      <c r="C26" s="122">
        <f>'Static part-Y'!C26</f>
        <v>30.4</v>
      </c>
      <c r="D26" s="122">
        <f>IF(C26&gt;0,1.844*POWER(C26/'Bảng tra K'!$E$11,2*'Bảng tra K'!$E$12),"ko tính")</f>
        <v>1.3729401865929858</v>
      </c>
      <c r="E26" s="122">
        <f t="shared" si="5"/>
        <v>0.09116322838977427</v>
      </c>
      <c r="F26" s="122">
        <f t="shared" si="6"/>
        <v>0.06837242129233069</v>
      </c>
      <c r="G26" s="127">
        <f t="shared" si="0"/>
        <v>0.15953564968210496</v>
      </c>
      <c r="H26" s="122">
        <f t="shared" si="1"/>
        <v>42</v>
      </c>
      <c r="I26" s="123">
        <f t="shared" si="2"/>
        <v>3.828855592370519</v>
      </c>
      <c r="J26" s="123">
        <f t="shared" si="3"/>
        <v>2.871641694277889</v>
      </c>
      <c r="K26" s="156">
        <f t="shared" si="4"/>
        <v>6.7004972866484085</v>
      </c>
      <c r="L26" s="147" t="str">
        <f>'Static part-Y'!L26</f>
        <v>D</v>
      </c>
      <c r="M26"/>
      <c r="N26"/>
      <c r="O26"/>
      <c r="P26"/>
    </row>
    <row r="27" spans="1:16" ht="13.5" customHeight="1">
      <c r="A27" s="120">
        <f>'Static part-Y'!A27</f>
        <v>11</v>
      </c>
      <c r="B27" s="121">
        <f>'Static part-Y'!B27</f>
        <v>3</v>
      </c>
      <c r="C27" s="122">
        <f>'Static part-Y'!C27</f>
        <v>33.4</v>
      </c>
      <c r="D27" s="122">
        <f>IF(C27&gt;0,1.844*POWER(C27/'Bảng tra K'!$E$11,2*'Bảng tra K'!$E$12),"ko tính")</f>
        <v>1.3911495540178342</v>
      </c>
      <c r="E27" s="122">
        <f t="shared" si="5"/>
        <v>0.0923723303867842</v>
      </c>
      <c r="F27" s="122">
        <f t="shared" si="6"/>
        <v>0.06927924779008815</v>
      </c>
      <c r="G27" s="127">
        <f t="shared" si="0"/>
        <v>0.16165157817687237</v>
      </c>
      <c r="H27" s="122">
        <f t="shared" si="1"/>
        <v>42</v>
      </c>
      <c r="I27" s="123">
        <f t="shared" si="2"/>
        <v>3.8796378762449364</v>
      </c>
      <c r="J27" s="123">
        <f t="shared" si="3"/>
        <v>2.909728407183702</v>
      </c>
      <c r="K27" s="156">
        <f t="shared" si="4"/>
        <v>6.789366283428638</v>
      </c>
      <c r="L27" s="147" t="str">
        <f>'Static part-Y'!L27</f>
        <v>D</v>
      </c>
      <c r="M27"/>
      <c r="N27"/>
      <c r="O27"/>
      <c r="P27"/>
    </row>
    <row r="28" spans="1:16" ht="13.5" customHeight="1">
      <c r="A28" s="120">
        <f>'Static part-Y'!A28</f>
        <v>12</v>
      </c>
      <c r="B28" s="121">
        <f>'Static part-Y'!B28</f>
        <v>3</v>
      </c>
      <c r="C28" s="122">
        <f>'Static part-Y'!C28</f>
        <v>36.4</v>
      </c>
      <c r="D28" s="122">
        <f>IF(C28&gt;0,1.844*POWER(C28/'Bảng tra K'!$E$11,2*'Bảng tra K'!$E$12),"ko tính")</f>
        <v>1.4080027700284474</v>
      </c>
      <c r="E28" s="122">
        <f t="shared" si="5"/>
        <v>0.09349138392988893</v>
      </c>
      <c r="F28" s="122">
        <f t="shared" si="6"/>
        <v>0.07011853794741668</v>
      </c>
      <c r="G28" s="127">
        <f t="shared" si="0"/>
        <v>0.1636099218773056</v>
      </c>
      <c r="H28" s="122">
        <f t="shared" si="1"/>
        <v>42</v>
      </c>
      <c r="I28" s="123">
        <f t="shared" si="2"/>
        <v>3.926638125055335</v>
      </c>
      <c r="J28" s="123">
        <f t="shared" si="3"/>
        <v>2.9449785937915007</v>
      </c>
      <c r="K28" s="156">
        <f t="shared" si="4"/>
        <v>6.871616718846836</v>
      </c>
      <c r="L28" s="147" t="str">
        <f>'Static part-Y'!L28</f>
        <v>D</v>
      </c>
      <c r="M28"/>
      <c r="N28"/>
      <c r="O28"/>
      <c r="P28"/>
    </row>
    <row r="29" spans="1:16" ht="13.5" customHeight="1">
      <c r="A29" s="120">
        <f>'Static part-Y'!A29</f>
        <v>13</v>
      </c>
      <c r="B29" s="121">
        <f>'Static part-Y'!B29</f>
        <v>3</v>
      </c>
      <c r="C29" s="122">
        <f>'Static part-Y'!C29</f>
        <v>39.4</v>
      </c>
      <c r="D29" s="122">
        <f>IF(C29&gt;0,1.844*POWER(C29/'Bảng tra K'!$E$11,2*'Bảng tra K'!$E$12),"ko tính")</f>
        <v>1.423700988444884</v>
      </c>
      <c r="E29" s="122">
        <f t="shared" si="5"/>
        <v>0.09453374563274031</v>
      </c>
      <c r="F29" s="122">
        <f t="shared" si="6"/>
        <v>0.07090030922455522</v>
      </c>
      <c r="G29" s="127">
        <f t="shared" si="0"/>
        <v>0.1654340548572955</v>
      </c>
      <c r="H29" s="122">
        <f t="shared" si="1"/>
        <v>42</v>
      </c>
      <c r="I29" s="123">
        <f t="shared" si="2"/>
        <v>3.9704173165750927</v>
      </c>
      <c r="J29" s="123">
        <f t="shared" si="3"/>
        <v>2.977812987431319</v>
      </c>
      <c r="K29" s="156">
        <f t="shared" si="4"/>
        <v>6.948230304006412</v>
      </c>
      <c r="L29" s="147" t="str">
        <f>'Static part-Y'!L29</f>
        <v>D</v>
      </c>
      <c r="M29"/>
      <c r="N29"/>
      <c r="O29"/>
      <c r="P29"/>
    </row>
    <row r="30" spans="1:16" ht="13.5" customHeight="1">
      <c r="A30" s="120">
        <f>'Static part-Y'!A30</f>
        <v>14</v>
      </c>
      <c r="B30" s="121">
        <f>'Static part-Y'!B30</f>
        <v>3</v>
      </c>
      <c r="C30" s="122">
        <f>'Static part-Y'!C30</f>
        <v>42.4</v>
      </c>
      <c r="D30" s="122">
        <f>IF(C30&gt;0,1.844*POWER(C30/'Bảng tra K'!$E$11,2*'Bảng tra K'!$E$12),"ko tính")</f>
        <v>1.4384028517916063</v>
      </c>
      <c r="E30" s="122">
        <f t="shared" si="5"/>
        <v>0.09550994935896268</v>
      </c>
      <c r="F30" s="122">
        <f t="shared" si="6"/>
        <v>0.07163246201922199</v>
      </c>
      <c r="G30" s="127">
        <f t="shared" si="0"/>
        <v>0.16714241137818467</v>
      </c>
      <c r="H30" s="122">
        <f t="shared" si="1"/>
        <v>39.199999999999996</v>
      </c>
      <c r="I30" s="123">
        <f t="shared" si="2"/>
        <v>3.7439900148713363</v>
      </c>
      <c r="J30" s="123">
        <f t="shared" si="3"/>
        <v>2.807992511153502</v>
      </c>
      <c r="K30" s="156">
        <f t="shared" si="4"/>
        <v>6.5519825260248385</v>
      </c>
      <c r="L30" s="147" t="str">
        <f>'Static part-Y'!L30</f>
        <v>D</v>
      </c>
      <c r="M30"/>
      <c r="N30"/>
      <c r="O30"/>
      <c r="P30"/>
    </row>
    <row r="31" spans="1:16" ht="13.5" customHeight="1">
      <c r="A31" s="120">
        <f>'Static part-Y'!A31</f>
        <v>15</v>
      </c>
      <c r="B31" s="121">
        <f>'Static part-Y'!B31</f>
        <v>2.6</v>
      </c>
      <c r="C31" s="122">
        <f>'Static part-Y'!C31</f>
        <v>45</v>
      </c>
      <c r="D31" s="122">
        <f>IF(C31&gt;0,1.844*POWER(C31/'Bảng tra K'!$E$11,2*'Bảng tra K'!$E$12),"ko tính")</f>
        <v>1.4504376597521988</v>
      </c>
      <c r="E31" s="122">
        <f t="shared" si="5"/>
        <v>0.09630906060754602</v>
      </c>
      <c r="F31" s="122">
        <f t="shared" si="6"/>
        <v>0.0722317954556595</v>
      </c>
      <c r="G31" s="127">
        <f t="shared" si="0"/>
        <v>0.1685408560632055</v>
      </c>
      <c r="H31" s="122">
        <f>(B31/2)*n</f>
        <v>18.2</v>
      </c>
      <c r="I31" s="123">
        <f t="shared" si="2"/>
        <v>1.7528249030573375</v>
      </c>
      <c r="J31" s="123">
        <f t="shared" si="3"/>
        <v>1.3146186772930029</v>
      </c>
      <c r="K31" s="156">
        <f t="shared" si="4"/>
        <v>3.06744358035034</v>
      </c>
      <c r="L31" s="147" t="str">
        <f>'Static part-Y'!L31</f>
        <v>D</v>
      </c>
      <c r="M31"/>
      <c r="N31"/>
      <c r="O31"/>
      <c r="P31"/>
    </row>
    <row r="32" spans="1:16" ht="13.5" customHeight="1">
      <c r="A32" s="104"/>
      <c r="B32" s="114"/>
      <c r="C32" s="114"/>
      <c r="D32" s="114"/>
      <c r="E32" s="124"/>
      <c r="F32" s="125"/>
      <c r="G32" s="125"/>
      <c r="H32" s="124"/>
      <c r="I32" s="124"/>
      <c r="J32" s="115"/>
      <c r="K32" s="115"/>
      <c r="L32" s="103"/>
      <c r="M32"/>
      <c r="N32"/>
      <c r="O32"/>
      <c r="P32"/>
    </row>
    <row r="33" spans="1:16" ht="13.5" customHeight="1">
      <c r="A33" s="99" t="s">
        <v>61</v>
      </c>
      <c r="B33" s="43"/>
      <c r="C33" s="43"/>
      <c r="D33" s="11"/>
      <c r="E33" s="11"/>
      <c r="F33" s="27"/>
      <c r="G33" s="44"/>
      <c r="H33" s="175"/>
      <c r="I33" s="44"/>
      <c r="J33" s="44"/>
      <c r="K33" s="11"/>
      <c r="L33" s="103"/>
      <c r="M33"/>
      <c r="N33"/>
      <c r="O33"/>
      <c r="P33"/>
    </row>
    <row r="34" spans="1:16" ht="13.5" customHeight="1">
      <c r="A34" s="100" t="s">
        <v>62</v>
      </c>
      <c r="B34" s="45"/>
      <c r="C34" s="23"/>
      <c r="D34" s="23"/>
      <c r="E34" s="23"/>
      <c r="F34" s="23"/>
      <c r="G34" s="101" t="s">
        <v>63</v>
      </c>
      <c r="H34" s="176"/>
      <c r="I34" s="23"/>
      <c r="J34" s="11"/>
      <c r="K34" s="11"/>
      <c r="L34" s="103"/>
      <c r="M34"/>
      <c r="N34"/>
      <c r="O34"/>
      <c r="P34"/>
    </row>
    <row r="35" spans="1:16" ht="13.5" customHeight="1">
      <c r="A35" s="104"/>
      <c r="B35" s="114" t="s">
        <v>45</v>
      </c>
      <c r="C35" s="114">
        <f>+SUMPRODUCT(C17:C31,K17:K31)</f>
        <v>2234.8807580386615</v>
      </c>
      <c r="D35" s="114" t="s">
        <v>7</v>
      </c>
      <c r="E35" s="124"/>
      <c r="F35" s="125"/>
      <c r="G35" s="125"/>
      <c r="H35" s="124" t="s">
        <v>46</v>
      </c>
      <c r="I35" s="126">
        <f>SUM(K17:K31)</f>
        <v>93.19614127548101</v>
      </c>
      <c r="J35" s="115" t="s">
        <v>8</v>
      </c>
      <c r="K35" s="115"/>
      <c r="L35" s="103"/>
      <c r="M35"/>
      <c r="N35"/>
      <c r="O35"/>
      <c r="P35"/>
    </row>
    <row r="36" spans="1:16" ht="13.5" customHeight="1" thickBot="1">
      <c r="A36" s="105"/>
      <c r="B36" s="128"/>
      <c r="C36" s="128"/>
      <c r="D36" s="128"/>
      <c r="E36" s="129"/>
      <c r="F36" s="130"/>
      <c r="G36" s="130"/>
      <c r="H36" s="129"/>
      <c r="I36" s="129" t="s">
        <v>64</v>
      </c>
      <c r="J36" s="131"/>
      <c r="K36" s="131"/>
      <c r="L36" s="113"/>
      <c r="M36"/>
      <c r="N36"/>
      <c r="O36"/>
      <c r="P36"/>
    </row>
    <row r="37" spans="13:16" ht="12.75">
      <c r="M37"/>
      <c r="N37"/>
      <c r="O37"/>
      <c r="P37"/>
    </row>
    <row r="38" spans="13:16" ht="12.75">
      <c r="M38"/>
      <c r="N38"/>
      <c r="O38"/>
      <c r="P38"/>
    </row>
    <row r="39" spans="13:16" ht="12.75">
      <c r="M39"/>
      <c r="N39"/>
      <c r="O39"/>
      <c r="P39"/>
    </row>
  </sheetData>
  <sheetProtection formatCells="0" formatColumns="0" formatRows="0" insertColumns="0" insertRows="0" insertHyperlinks="0" deleteColumns="0" deleteRows="0" sort="0" autoFilter="0" pivotTables="0"/>
  <mergeCells count="15">
    <mergeCell ref="A1:I1"/>
    <mergeCell ref="K1:L1"/>
    <mergeCell ref="A15:A16"/>
    <mergeCell ref="C15:C16"/>
    <mergeCell ref="E15:G15"/>
    <mergeCell ref="A4:B4"/>
    <mergeCell ref="H3:I3"/>
    <mergeCell ref="A2:B2"/>
    <mergeCell ref="I2:J2"/>
    <mergeCell ref="A3:B3"/>
    <mergeCell ref="L15:L16"/>
    <mergeCell ref="H15:H16"/>
    <mergeCell ref="D15:D16"/>
    <mergeCell ref="B15:B16"/>
    <mergeCell ref="I15:K15"/>
  </mergeCells>
  <dataValidations count="2">
    <dataValidation type="list" allowBlank="1" showInputMessage="1" showErrorMessage="1" sqref="I9">
      <formula1>$Q$2:$Q$4</formula1>
    </dataValidation>
    <dataValidation type="list" allowBlank="1" showInputMessage="1" showErrorMessage="1" sqref="I10">
      <formula1>$P$2:$P$4</formula1>
    </dataValidation>
  </dataValidations>
  <printOptions/>
  <pageMargins left="0.8" right="0.26" top="1.23" bottom="0.3" header="1.69" footer="0.3"/>
  <pageSetup blackAndWhite="1" horizontalDpi="600" verticalDpi="600" orientation="portrait" paperSize="9" scale="8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="125" zoomScaleNormal="125" zoomScaleSheetLayoutView="100" zoomScalePageLayoutView="0" workbookViewId="0" topLeftCell="A28">
      <selection activeCell="C4" sqref="C4"/>
    </sheetView>
  </sheetViews>
  <sheetFormatPr defaultColWidth="9.140625" defaultRowHeight="12.75"/>
  <cols>
    <col min="1" max="4" width="8.7109375" style="96" customWidth="1"/>
    <col min="5" max="6" width="8.7109375" style="177" customWidth="1"/>
    <col min="7" max="12" width="8.7109375" style="96" customWidth="1"/>
    <col min="13" max="13" width="9.140625" style="96" customWidth="1"/>
    <col min="14" max="14" width="7.421875" style="96" customWidth="1"/>
    <col min="15" max="15" width="7.28125" style="96" customWidth="1"/>
    <col min="16" max="16384" width="9.140625" style="96" customWidth="1"/>
  </cols>
  <sheetData>
    <row r="1" spans="1:23" ht="34.5" customHeight="1">
      <c r="A1" s="269" t="s">
        <v>126</v>
      </c>
      <c r="B1" s="270"/>
      <c r="C1" s="270"/>
      <c r="D1" s="270"/>
      <c r="E1" s="270"/>
      <c r="F1" s="270"/>
      <c r="G1" s="270"/>
      <c r="H1" s="270"/>
      <c r="I1" s="270"/>
      <c r="J1" s="198"/>
      <c r="K1" s="198"/>
      <c r="L1" s="199"/>
      <c r="T1" s="8"/>
      <c r="U1" s="8"/>
      <c r="V1" s="8"/>
      <c r="W1" s="8"/>
    </row>
    <row r="2" spans="1:30" ht="13.5" customHeight="1">
      <c r="A2" s="261" t="s">
        <v>51</v>
      </c>
      <c r="B2" s="262"/>
      <c r="C2" s="101" t="s">
        <v>52</v>
      </c>
      <c r="D2" s="4"/>
      <c r="E2" s="178"/>
      <c r="F2" s="173"/>
      <c r="G2" s="2"/>
      <c r="H2" s="101"/>
      <c r="I2" s="264">
        <f ca="1">TODAY()</f>
        <v>42500</v>
      </c>
      <c r="J2" s="264"/>
      <c r="K2" s="4"/>
      <c r="L2" s="103"/>
      <c r="P2" s="96" t="s">
        <v>14</v>
      </c>
      <c r="Q2" s="96" t="s">
        <v>0</v>
      </c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3.5" customHeight="1">
      <c r="A3" s="261" t="str">
        <f>IF($J$3="Vietnam","Tên công trình:","Project:")</f>
        <v>Project:</v>
      </c>
      <c r="B3" s="262"/>
      <c r="C3" s="101"/>
      <c r="D3" s="4"/>
      <c r="E3" s="178"/>
      <c r="F3" s="173"/>
      <c r="G3" s="2"/>
      <c r="H3" s="263" t="str">
        <f>IF($J$3="Vietnam","Ngôn ngữ:","Language:")</f>
        <v>Language:</v>
      </c>
      <c r="I3" s="263"/>
      <c r="J3" s="114" t="s">
        <v>50</v>
      </c>
      <c r="K3" s="4"/>
      <c r="L3" s="103"/>
      <c r="P3" s="96" t="s">
        <v>15</v>
      </c>
      <c r="Q3" s="96" t="s">
        <v>1</v>
      </c>
      <c r="R3"/>
      <c r="S3"/>
      <c r="T3"/>
      <c r="U3"/>
      <c r="V3"/>
      <c r="W3"/>
      <c r="X3"/>
      <c r="Y3"/>
      <c r="Z3"/>
      <c r="AA3"/>
      <c r="AB3"/>
      <c r="AC3"/>
      <c r="AD3"/>
    </row>
    <row r="4" spans="1:23" ht="13.5" customHeight="1">
      <c r="A4" s="261" t="str">
        <f>IF($J$3="Vietnam","Người thực hiện:","Computed by")</f>
        <v>Computed by</v>
      </c>
      <c r="B4" s="262"/>
      <c r="C4" s="101"/>
      <c r="D4" s="4"/>
      <c r="E4" s="178"/>
      <c r="F4" s="173"/>
      <c r="G4" s="3"/>
      <c r="H4" s="4"/>
      <c r="I4" s="4"/>
      <c r="J4" s="4"/>
      <c r="K4" s="4"/>
      <c r="L4" s="103"/>
      <c r="P4" s="96" t="s">
        <v>16</v>
      </c>
      <c r="Q4" s="96" t="s">
        <v>2</v>
      </c>
      <c r="T4" s="8"/>
      <c r="U4" s="8"/>
      <c r="V4" s="8"/>
      <c r="W4" s="8"/>
    </row>
    <row r="5" spans="1:23" ht="13.5" customHeight="1">
      <c r="A5" s="100" t="s">
        <v>53</v>
      </c>
      <c r="B5" s="101"/>
      <c r="C5" s="148" t="s">
        <v>39</v>
      </c>
      <c r="D5" s="4"/>
      <c r="E5" s="178"/>
      <c r="F5" s="173"/>
      <c r="G5" s="3"/>
      <c r="H5" s="4"/>
      <c r="I5" s="4"/>
      <c r="J5" s="4"/>
      <c r="K5" s="4"/>
      <c r="L5" s="103"/>
      <c r="T5" s="8"/>
      <c r="U5" s="8"/>
      <c r="V5" s="8"/>
      <c r="W5" s="8"/>
    </row>
    <row r="6" spans="1:23" ht="3.75" customHeight="1" hidden="1">
      <c r="A6" s="100"/>
      <c r="B6" s="101"/>
      <c r="C6" s="101"/>
      <c r="D6" s="4"/>
      <c r="E6" s="178"/>
      <c r="F6" s="173"/>
      <c r="G6" s="3"/>
      <c r="H6" s="4"/>
      <c r="I6" s="4"/>
      <c r="J6" s="4"/>
      <c r="K6" s="4"/>
      <c r="L6" s="103"/>
      <c r="T6" s="8"/>
      <c r="U6" s="8"/>
      <c r="V6" s="8"/>
      <c r="W6" s="8"/>
    </row>
    <row r="7" spans="1:23" ht="13.5" customHeight="1">
      <c r="A7" s="99" t="s">
        <v>54</v>
      </c>
      <c r="B7" s="101"/>
      <c r="C7" s="101"/>
      <c r="D7" s="4"/>
      <c r="E7" s="178"/>
      <c r="F7" s="173"/>
      <c r="G7" s="3"/>
      <c r="H7" s="4"/>
      <c r="I7" s="4"/>
      <c r="J7" s="4"/>
      <c r="K7" s="4"/>
      <c r="L7" s="103"/>
      <c r="T7" s="8"/>
      <c r="U7" s="8"/>
      <c r="V7" s="8"/>
      <c r="W7" s="8"/>
    </row>
    <row r="8" spans="1:23" ht="0.75" customHeight="1">
      <c r="A8" s="99"/>
      <c r="B8" s="101"/>
      <c r="C8" s="101"/>
      <c r="D8" s="4"/>
      <c r="E8" s="178"/>
      <c r="F8" s="178"/>
      <c r="G8" s="114"/>
      <c r="H8" s="4"/>
      <c r="I8" s="4"/>
      <c r="J8" s="4"/>
      <c r="K8" s="4"/>
      <c r="L8" s="103"/>
      <c r="T8" s="8"/>
      <c r="U8" s="8"/>
      <c r="V8" s="8"/>
      <c r="W8" s="8"/>
    </row>
    <row r="9" spans="1:19" ht="13.5" customHeight="1">
      <c r="A9" s="116" t="s">
        <v>55</v>
      </c>
      <c r="B9" s="4"/>
      <c r="C9" s="4"/>
      <c r="D9" s="168">
        <v>45</v>
      </c>
      <c r="E9" s="178" t="s">
        <v>3</v>
      </c>
      <c r="F9" s="179" t="s">
        <v>58</v>
      </c>
      <c r="G9" s="4"/>
      <c r="H9" s="4"/>
      <c r="I9" s="142" t="s">
        <v>1</v>
      </c>
      <c r="J9" s="114"/>
      <c r="K9" s="4"/>
      <c r="L9" s="103"/>
      <c r="R9" s="97">
        <v>1.4</v>
      </c>
      <c r="S9" s="98">
        <v>0.095</v>
      </c>
    </row>
    <row r="10" spans="1:19" ht="13.5" customHeight="1">
      <c r="A10" s="116" t="s">
        <v>56</v>
      </c>
      <c r="B10" s="4"/>
      <c r="C10" s="4"/>
      <c r="D10" s="141">
        <v>25</v>
      </c>
      <c r="E10" s="174" t="s">
        <v>3</v>
      </c>
      <c r="F10" s="179" t="s">
        <v>59</v>
      </c>
      <c r="G10" s="4"/>
      <c r="H10" s="4"/>
      <c r="I10" s="142" t="s">
        <v>14</v>
      </c>
      <c r="J10" s="4"/>
      <c r="K10" s="4"/>
      <c r="L10" s="103"/>
      <c r="R10" s="97">
        <v>1.2</v>
      </c>
      <c r="S10" s="8"/>
    </row>
    <row r="11" spans="1:12" ht="13.5" customHeight="1">
      <c r="A11" s="116" t="s">
        <v>57</v>
      </c>
      <c r="B11" s="4"/>
      <c r="C11" s="4"/>
      <c r="D11" s="141">
        <v>14</v>
      </c>
      <c r="E11" s="178" t="s">
        <v>3</v>
      </c>
      <c r="F11" s="179" t="s">
        <v>60</v>
      </c>
      <c r="G11" s="4"/>
      <c r="H11" s="4"/>
      <c r="I11" s="141">
        <v>0.083</v>
      </c>
      <c r="J11" s="114" t="s">
        <v>113</v>
      </c>
      <c r="K11" s="4"/>
      <c r="L11" s="103"/>
    </row>
    <row r="12" spans="1:12" ht="4.5" customHeight="1">
      <c r="A12" s="116"/>
      <c r="B12" s="4"/>
      <c r="C12" s="4"/>
      <c r="D12" s="101"/>
      <c r="E12" s="178"/>
      <c r="F12" s="179"/>
      <c r="G12" s="4"/>
      <c r="H12" s="4"/>
      <c r="I12" s="4"/>
      <c r="J12" s="114"/>
      <c r="K12" s="4"/>
      <c r="L12" s="103"/>
    </row>
    <row r="13" spans="1:12" ht="13.5" customHeight="1">
      <c r="A13" s="99" t="s">
        <v>109</v>
      </c>
      <c r="B13" s="101"/>
      <c r="C13" s="101"/>
      <c r="D13" s="101"/>
      <c r="E13" s="180"/>
      <c r="F13" s="181"/>
      <c r="G13" s="7"/>
      <c r="H13" s="4"/>
      <c r="I13" s="4"/>
      <c r="J13" s="4"/>
      <c r="K13" s="4"/>
      <c r="L13" s="103"/>
    </row>
    <row r="14" spans="1:12" ht="13.5" customHeight="1">
      <c r="A14" s="99"/>
      <c r="B14" s="101"/>
      <c r="C14" s="101"/>
      <c r="D14" s="101"/>
      <c r="E14" s="180"/>
      <c r="F14" s="181"/>
      <c r="G14" s="7"/>
      <c r="H14" s="4"/>
      <c r="I14" s="4"/>
      <c r="J14" s="4"/>
      <c r="K14" s="4"/>
      <c r="L14" s="103"/>
    </row>
    <row r="15" spans="1:16" ht="21.75" customHeight="1">
      <c r="A15" s="254" t="s">
        <v>73</v>
      </c>
      <c r="B15" s="256" t="s">
        <v>75</v>
      </c>
      <c r="C15" s="256" t="s">
        <v>74</v>
      </c>
      <c r="D15" s="256" t="s">
        <v>76</v>
      </c>
      <c r="E15" s="258" t="s">
        <v>77</v>
      </c>
      <c r="F15" s="259"/>
      <c r="G15" s="260"/>
      <c r="H15" s="256" t="s">
        <v>78</v>
      </c>
      <c r="I15" s="258" t="s">
        <v>79</v>
      </c>
      <c r="J15" s="259"/>
      <c r="K15" s="259"/>
      <c r="L15" s="265" t="s">
        <v>108</v>
      </c>
      <c r="M15" s="144"/>
      <c r="N15" s="171"/>
      <c r="O15"/>
      <c r="P15"/>
    </row>
    <row r="16" spans="1:16" ht="24.75" customHeight="1">
      <c r="A16" s="255"/>
      <c r="B16" s="257"/>
      <c r="C16" s="257"/>
      <c r="D16" s="257"/>
      <c r="E16" s="182" t="s">
        <v>80</v>
      </c>
      <c r="F16" s="183" t="s">
        <v>81</v>
      </c>
      <c r="G16" s="143" t="s">
        <v>82</v>
      </c>
      <c r="H16" s="257"/>
      <c r="I16" s="118" t="s">
        <v>80</v>
      </c>
      <c r="J16" s="118" t="s">
        <v>81</v>
      </c>
      <c r="K16" s="143" t="s">
        <v>82</v>
      </c>
      <c r="L16" s="265"/>
      <c r="M16"/>
      <c r="N16" s="171"/>
      <c r="O16"/>
      <c r="P16"/>
    </row>
    <row r="17" spans="1:16" ht="13.5" customHeight="1">
      <c r="A17" s="120">
        <v>1</v>
      </c>
      <c r="B17" s="172">
        <v>1.2</v>
      </c>
      <c r="C17" s="122">
        <f>B17</f>
        <v>1.2</v>
      </c>
      <c r="D17" s="122">
        <f>IF(C17&gt;0,1.844*POWER(C17/'Bảng tra K'!$E$11,2*'Bảng tra K'!$E$12),"ko tính")</f>
        <v>0.8732421494130311</v>
      </c>
      <c r="E17" s="122">
        <f>IF(D17="ko tính","---",D17*$I$11*1*0.8)</f>
        <v>0.057983278721025266</v>
      </c>
      <c r="F17" s="122">
        <f>IF(D17="ko tính","---",D17*$I$11*1*0.6)</f>
        <v>0.04348745904076895</v>
      </c>
      <c r="G17" s="122">
        <f>IF(D17="ko tính","---",E17+F17)</f>
        <v>0.10147073776179422</v>
      </c>
      <c r="H17" s="122">
        <f>(B18/2+B17)*$D$10</f>
        <v>77.49999999999999</v>
      </c>
      <c r="I17" s="123">
        <f>+IF(D17="ko tính","---",H17*E17)</f>
        <v>4.493704100879457</v>
      </c>
      <c r="J17" s="123">
        <f>+IF(D17="ko tính","---",H17*F17)</f>
        <v>3.370278075659593</v>
      </c>
      <c r="K17" s="156">
        <f>IF(D17="ko tính","---",I17+J17)</f>
        <v>7.86398217653905</v>
      </c>
      <c r="L17" s="119" t="s">
        <v>117</v>
      </c>
      <c r="M17"/>
      <c r="N17" s="171"/>
      <c r="O17"/>
      <c r="P17"/>
    </row>
    <row r="18" spans="1:16" ht="13.5" customHeight="1">
      <c r="A18" s="120">
        <v>2</v>
      </c>
      <c r="B18" s="172">
        <v>3.8</v>
      </c>
      <c r="C18" s="122">
        <f>C17+B18</f>
        <v>5</v>
      </c>
      <c r="D18" s="122">
        <f>IF(C18&gt;0,1.844*POWER(C18/'Bảng tra K'!$E$11,2*'Bảng tra K'!$E$12),"ko tính")</f>
        <v>1.066363118652159</v>
      </c>
      <c r="E18" s="122">
        <f>IF(D18="ko tính","---",D18*$I$11*1*0.8)</f>
        <v>0.07080651107850336</v>
      </c>
      <c r="F18" s="122">
        <f>IF(D18="ko tính","---",D18*$I$11*1*0.6)</f>
        <v>0.05310488330887751</v>
      </c>
      <c r="G18" s="127">
        <f aca="true" t="shared" si="0" ref="G18:G26">IF(D18="ko tính","---",E18+F18)</f>
        <v>0.12391139438738087</v>
      </c>
      <c r="H18" s="122">
        <f>(B18/2+B19/2)*$D$10</f>
        <v>87.5</v>
      </c>
      <c r="I18" s="123">
        <f aca="true" t="shared" si="1" ref="I18:I26">+IF(D18="ko tính","---",H18*E18)</f>
        <v>6.195569719369044</v>
      </c>
      <c r="J18" s="123">
        <f aca="true" t="shared" si="2" ref="J18:J26">+IF(D18="ko tính","---",H18*F18)</f>
        <v>4.6466772895267825</v>
      </c>
      <c r="K18" s="156">
        <f aca="true" t="shared" si="3" ref="K18:K26">IF(D18="ko tính","---",I18+J18)</f>
        <v>10.842247008895827</v>
      </c>
      <c r="L18" s="119" t="s">
        <v>117</v>
      </c>
      <c r="M18"/>
      <c r="N18" s="171"/>
      <c r="O18"/>
      <c r="P18"/>
    </row>
    <row r="19" spans="1:16" ht="13.5" customHeight="1">
      <c r="A19" s="120">
        <v>3</v>
      </c>
      <c r="B19" s="172">
        <v>3.2</v>
      </c>
      <c r="C19" s="122">
        <f aca="true" t="shared" si="4" ref="C19:C31">C18+B19</f>
        <v>8.2</v>
      </c>
      <c r="D19" s="122">
        <f>IF(C19&gt;0,1.844*POWER(C19/'Bảng tra K'!$E$11,2*'Bảng tra K'!$E$12),"ko tính")</f>
        <v>1.142834269494035</v>
      </c>
      <c r="E19" s="122">
        <f aca="true" t="shared" si="5" ref="E19:E31">IF(D19="ko tính","---",D19*$I$11*1*0.8)</f>
        <v>0.07588419549440394</v>
      </c>
      <c r="F19" s="122">
        <f aca="true" t="shared" si="6" ref="F19:F26">IF(D19="ko tính","---",D19*$I$11*1*0.6)</f>
        <v>0.05691314662080294</v>
      </c>
      <c r="G19" s="127">
        <f t="shared" si="0"/>
        <v>0.13279734211520688</v>
      </c>
      <c r="H19" s="122">
        <f aca="true" t="shared" si="7" ref="H19:H30">(B19/2+B20/2)*$D$10</f>
        <v>80</v>
      </c>
      <c r="I19" s="123">
        <f t="shared" si="1"/>
        <v>6.070735639552315</v>
      </c>
      <c r="J19" s="123">
        <f t="shared" si="2"/>
        <v>4.553051729664236</v>
      </c>
      <c r="K19" s="156">
        <f t="shared" si="3"/>
        <v>10.62378736921655</v>
      </c>
      <c r="L19" s="119" t="s">
        <v>117</v>
      </c>
      <c r="M19"/>
      <c r="N19" s="171"/>
      <c r="O19"/>
      <c r="P19"/>
    </row>
    <row r="20" spans="1:16" ht="13.5" customHeight="1">
      <c r="A20" s="120">
        <v>4</v>
      </c>
      <c r="B20" s="172">
        <v>3.2</v>
      </c>
      <c r="C20" s="122">
        <f t="shared" si="4"/>
        <v>11.399999999999999</v>
      </c>
      <c r="D20" s="122">
        <f>IF(C20&gt;0,1.844*POWER(C20/'Bảng tra K'!$E$11,2*'Bảng tra K'!$E$12),"ko tính")</f>
        <v>1.1967846070389154</v>
      </c>
      <c r="E20" s="122">
        <f t="shared" si="5"/>
        <v>0.079466497907384</v>
      </c>
      <c r="F20" s="122">
        <f t="shared" si="6"/>
        <v>0.05959987343053799</v>
      </c>
      <c r="G20" s="127">
        <f t="shared" si="0"/>
        <v>0.139066371337922</v>
      </c>
      <c r="H20" s="122">
        <f t="shared" si="7"/>
        <v>90</v>
      </c>
      <c r="I20" s="123">
        <f t="shared" si="1"/>
        <v>7.15198481166456</v>
      </c>
      <c r="J20" s="123">
        <f t="shared" si="2"/>
        <v>5.36398860874842</v>
      </c>
      <c r="K20" s="156">
        <f t="shared" si="3"/>
        <v>12.51597342041298</v>
      </c>
      <c r="L20" s="119" t="s">
        <v>117</v>
      </c>
      <c r="M20"/>
      <c r="N20" s="171"/>
      <c r="O20"/>
      <c r="P20"/>
    </row>
    <row r="21" spans="1:16" ht="13.5" customHeight="1">
      <c r="A21" s="120">
        <v>5</v>
      </c>
      <c r="B21" s="172">
        <v>4</v>
      </c>
      <c r="C21" s="122">
        <f t="shared" si="4"/>
        <v>15.399999999999999</v>
      </c>
      <c r="D21" s="122">
        <f>IF(C21&gt;0,1.844*POWER(C21/'Bảng tra K'!$E$11,2*'Bảng tra K'!$E$12),"ko tính")</f>
        <v>1.2482518443579529</v>
      </c>
      <c r="E21" s="122">
        <f t="shared" si="5"/>
        <v>0.08288392246536808</v>
      </c>
      <c r="F21" s="122">
        <f t="shared" si="6"/>
        <v>0.06216294184902606</v>
      </c>
      <c r="G21" s="127">
        <f t="shared" si="0"/>
        <v>0.14504686431439412</v>
      </c>
      <c r="H21" s="122">
        <f t="shared" si="7"/>
        <v>87.5</v>
      </c>
      <c r="I21" s="123">
        <f t="shared" si="1"/>
        <v>7.252343215719707</v>
      </c>
      <c r="J21" s="123">
        <f t="shared" si="2"/>
        <v>5.43925741178978</v>
      </c>
      <c r="K21" s="156">
        <f t="shared" si="3"/>
        <v>12.691600627509487</v>
      </c>
      <c r="L21" s="119" t="s">
        <v>117</v>
      </c>
      <c r="M21"/>
      <c r="N21" s="171"/>
      <c r="O21"/>
      <c r="P21"/>
    </row>
    <row r="22" spans="1:16" ht="13.5" customHeight="1">
      <c r="A22" s="120">
        <v>6</v>
      </c>
      <c r="B22" s="172">
        <v>3</v>
      </c>
      <c r="C22" s="122">
        <f t="shared" si="4"/>
        <v>18.4</v>
      </c>
      <c r="D22" s="122">
        <f>IF(C22&gt;0,1.844*POWER(C22/'Bảng tra K'!$E$11,2*'Bảng tra K'!$E$12),"ko tính")</f>
        <v>1.2797460882251537</v>
      </c>
      <c r="E22" s="122">
        <f t="shared" si="5"/>
        <v>0.08497514025815021</v>
      </c>
      <c r="F22" s="122">
        <f t="shared" si="6"/>
        <v>0.06373135519361266</v>
      </c>
      <c r="G22" s="127">
        <f t="shared" si="0"/>
        <v>0.14870649545176287</v>
      </c>
      <c r="H22" s="122">
        <f t="shared" si="7"/>
        <v>75</v>
      </c>
      <c r="I22" s="123">
        <f t="shared" si="1"/>
        <v>6.373135519361266</v>
      </c>
      <c r="J22" s="123">
        <f t="shared" si="2"/>
        <v>4.779851639520949</v>
      </c>
      <c r="K22" s="156">
        <f t="shared" si="3"/>
        <v>11.152987158882215</v>
      </c>
      <c r="L22" s="119" t="s">
        <v>117</v>
      </c>
      <c r="M22"/>
      <c r="N22" s="171"/>
      <c r="O22"/>
      <c r="P22"/>
    </row>
    <row r="23" spans="1:16" ht="13.5" customHeight="1">
      <c r="A23" s="120">
        <v>7</v>
      </c>
      <c r="B23" s="172">
        <v>3</v>
      </c>
      <c r="C23" s="122">
        <f t="shared" si="4"/>
        <v>21.4</v>
      </c>
      <c r="D23" s="122">
        <f>IF(C23&gt;0,1.844*POWER(C23/'Bảng tra K'!$E$11,2*'Bảng tra K'!$E$12),"ko tính")</f>
        <v>1.3070952721078737</v>
      </c>
      <c r="E23" s="122">
        <f t="shared" si="5"/>
        <v>0.08679112606796283</v>
      </c>
      <c r="F23" s="122">
        <f t="shared" si="6"/>
        <v>0.06509334455097211</v>
      </c>
      <c r="G23" s="127">
        <f t="shared" si="0"/>
        <v>0.15188447061893495</v>
      </c>
      <c r="H23" s="122">
        <f t="shared" si="7"/>
        <v>75</v>
      </c>
      <c r="I23" s="123">
        <f t="shared" si="1"/>
        <v>6.509334455097212</v>
      </c>
      <c r="J23" s="123">
        <f t="shared" si="2"/>
        <v>4.882000841322909</v>
      </c>
      <c r="K23" s="156">
        <f t="shared" si="3"/>
        <v>11.39133529642012</v>
      </c>
      <c r="L23" s="119" t="s">
        <v>117</v>
      </c>
      <c r="M23"/>
      <c r="N23" s="171"/>
      <c r="O23"/>
      <c r="P23"/>
    </row>
    <row r="24" spans="1:16" ht="13.5" customHeight="1">
      <c r="A24" s="120">
        <v>8</v>
      </c>
      <c r="B24" s="172">
        <v>3</v>
      </c>
      <c r="C24" s="122">
        <f t="shared" si="4"/>
        <v>24.4</v>
      </c>
      <c r="D24" s="122">
        <f>IF(C24&gt;0,1.844*POWER(C24/'Bảng tra K'!$E$11,2*'Bảng tra K'!$E$12),"ko tính")</f>
        <v>1.3313243985590621</v>
      </c>
      <c r="E24" s="122">
        <f t="shared" si="5"/>
        <v>0.08839994006432174</v>
      </c>
      <c r="F24" s="122">
        <f t="shared" si="6"/>
        <v>0.0662999550482413</v>
      </c>
      <c r="G24" s="127">
        <f t="shared" si="0"/>
        <v>0.15469989511256305</v>
      </c>
      <c r="H24" s="122">
        <f t="shared" si="7"/>
        <v>75</v>
      </c>
      <c r="I24" s="123">
        <f t="shared" si="1"/>
        <v>6.62999550482413</v>
      </c>
      <c r="J24" s="123">
        <f t="shared" si="2"/>
        <v>4.972496628618097</v>
      </c>
      <c r="K24" s="156">
        <f t="shared" si="3"/>
        <v>11.602492133442226</v>
      </c>
      <c r="L24" s="119" t="s">
        <v>117</v>
      </c>
      <c r="M24"/>
      <c r="N24" s="171"/>
      <c r="O24"/>
      <c r="P24"/>
    </row>
    <row r="25" spans="1:16" ht="13.5" customHeight="1">
      <c r="A25" s="120">
        <v>9</v>
      </c>
      <c r="B25" s="172">
        <v>3</v>
      </c>
      <c r="C25" s="122">
        <f t="shared" si="4"/>
        <v>27.4</v>
      </c>
      <c r="D25" s="122">
        <f>IF(C25&gt;0,1.844*POWER(C25/'Bảng tra K'!$E$11,2*'Bảng tra K'!$E$12),"ko tính")</f>
        <v>1.3531140211944075</v>
      </c>
      <c r="E25" s="122">
        <f t="shared" si="5"/>
        <v>0.08984677100730866</v>
      </c>
      <c r="F25" s="122">
        <f t="shared" si="6"/>
        <v>0.06738507825548148</v>
      </c>
      <c r="G25" s="127">
        <f t="shared" si="0"/>
        <v>0.15723184926279016</v>
      </c>
      <c r="H25" s="122">
        <f t="shared" si="7"/>
        <v>75</v>
      </c>
      <c r="I25" s="123">
        <f t="shared" si="1"/>
        <v>6.738507825548149</v>
      </c>
      <c r="J25" s="123">
        <f t="shared" si="2"/>
        <v>5.0538808691611115</v>
      </c>
      <c r="K25" s="156">
        <f t="shared" si="3"/>
        <v>11.79238869470926</v>
      </c>
      <c r="L25" s="119" t="s">
        <v>117</v>
      </c>
      <c r="M25"/>
      <c r="N25" s="171"/>
      <c r="O25"/>
      <c r="P25"/>
    </row>
    <row r="26" spans="1:16" ht="13.5" customHeight="1">
      <c r="A26" s="120">
        <v>10</v>
      </c>
      <c r="B26" s="172">
        <v>3</v>
      </c>
      <c r="C26" s="122">
        <f t="shared" si="4"/>
        <v>30.4</v>
      </c>
      <c r="D26" s="122">
        <f>IF(C26&gt;0,1.844*POWER(C26/'Bảng tra K'!$E$11,2*'Bảng tra K'!$E$12),"ko tính")</f>
        <v>1.3729401865929858</v>
      </c>
      <c r="E26" s="122">
        <f t="shared" si="5"/>
        <v>0.09116322838977427</v>
      </c>
      <c r="F26" s="122">
        <f t="shared" si="6"/>
        <v>0.06837242129233069</v>
      </c>
      <c r="G26" s="127">
        <f t="shared" si="0"/>
        <v>0.15953564968210496</v>
      </c>
      <c r="H26" s="122">
        <f t="shared" si="7"/>
        <v>75</v>
      </c>
      <c r="I26" s="123">
        <f t="shared" si="1"/>
        <v>6.83724212923307</v>
      </c>
      <c r="J26" s="123">
        <f t="shared" si="2"/>
        <v>5.127931596924801</v>
      </c>
      <c r="K26" s="156">
        <f t="shared" si="3"/>
        <v>11.965173726157872</v>
      </c>
      <c r="L26" s="119" t="s">
        <v>117</v>
      </c>
      <c r="M26"/>
      <c r="N26" s="171"/>
      <c r="O26"/>
      <c r="P26"/>
    </row>
    <row r="27" spans="1:16" ht="13.5" customHeight="1">
      <c r="A27" s="120">
        <v>11</v>
      </c>
      <c r="B27" s="172">
        <v>3</v>
      </c>
      <c r="C27" s="122">
        <f t="shared" si="4"/>
        <v>33.4</v>
      </c>
      <c r="D27" s="122">
        <f>IF(C27&gt;0,1.844*POWER(C27/'Bảng tra K'!$E$11,2*'Bảng tra K'!$E$12),"ko tính")</f>
        <v>1.3911495540178342</v>
      </c>
      <c r="E27" s="122">
        <f t="shared" si="5"/>
        <v>0.0923723303867842</v>
      </c>
      <c r="F27" s="122">
        <f>IF(D27="ko tính","---",D27*$I$11*1*0.6)</f>
        <v>0.06927924779008815</v>
      </c>
      <c r="G27" s="127">
        <f>IF(D27="ko tính","---",E27+F27)</f>
        <v>0.16165157817687237</v>
      </c>
      <c r="H27" s="122">
        <f t="shared" si="7"/>
        <v>75</v>
      </c>
      <c r="I27" s="123">
        <f>+IF(D27="ko tính","---",H27*E27)</f>
        <v>6.927924779008816</v>
      </c>
      <c r="J27" s="123">
        <f>+IF(D27="ko tính","---",H27*F27)</f>
        <v>5.195943584256611</v>
      </c>
      <c r="K27" s="156">
        <f>IF(D27="ko tính","---",I27+J27)</f>
        <v>12.123868363265426</v>
      </c>
      <c r="L27" s="119" t="s">
        <v>117</v>
      </c>
      <c r="M27"/>
      <c r="N27" s="171"/>
      <c r="O27"/>
      <c r="P27"/>
    </row>
    <row r="28" spans="1:16" ht="13.5" customHeight="1">
      <c r="A28" s="120">
        <v>12</v>
      </c>
      <c r="B28" s="172">
        <v>3</v>
      </c>
      <c r="C28" s="122">
        <f t="shared" si="4"/>
        <v>36.4</v>
      </c>
      <c r="D28" s="122">
        <f>IF(C28&gt;0,1.844*POWER(C28/'Bảng tra K'!$E$11,2*'Bảng tra K'!$E$12),"ko tính")</f>
        <v>1.4080027700284474</v>
      </c>
      <c r="E28" s="122">
        <f t="shared" si="5"/>
        <v>0.09349138392988893</v>
      </c>
      <c r="F28" s="122">
        <f>IF(D28="ko tính","---",D28*$I$11*1*0.6)</f>
        <v>0.07011853794741668</v>
      </c>
      <c r="G28" s="127">
        <f>IF(D28="ko tính","---",E28+F28)</f>
        <v>0.1636099218773056</v>
      </c>
      <c r="H28" s="122">
        <f t="shared" si="7"/>
        <v>75</v>
      </c>
      <c r="I28" s="123">
        <f>+IF(D28="ko tính","---",H28*E28)</f>
        <v>7.011853794741669</v>
      </c>
      <c r="J28" s="123">
        <f>+IF(D28="ko tính","---",H28*F28)</f>
        <v>5.258890346056251</v>
      </c>
      <c r="K28" s="156">
        <f>IF(D28="ko tính","---",I28+J28)</f>
        <v>12.27074414079792</v>
      </c>
      <c r="L28" s="119" t="s">
        <v>117</v>
      </c>
      <c r="M28"/>
      <c r="N28" s="171"/>
      <c r="O28"/>
      <c r="P28"/>
    </row>
    <row r="29" spans="1:16" ht="13.5" customHeight="1">
      <c r="A29" s="120">
        <v>13</v>
      </c>
      <c r="B29" s="172">
        <v>3</v>
      </c>
      <c r="C29" s="122">
        <f t="shared" si="4"/>
        <v>39.4</v>
      </c>
      <c r="D29" s="122">
        <f>IF(C29&gt;0,1.844*POWER(C29/'Bảng tra K'!$E$11,2*'Bảng tra K'!$E$12),"ko tính")</f>
        <v>1.423700988444884</v>
      </c>
      <c r="E29" s="122">
        <f t="shared" si="5"/>
        <v>0.09453374563274031</v>
      </c>
      <c r="F29" s="122">
        <f>IF(D29="ko tính","---",D29*$I$11*1*0.6)</f>
        <v>0.07090030922455522</v>
      </c>
      <c r="G29" s="127">
        <f>IF(D29="ko tính","---",E29+F29)</f>
        <v>0.1654340548572955</v>
      </c>
      <c r="H29" s="122">
        <f t="shared" si="7"/>
        <v>75</v>
      </c>
      <c r="I29" s="123">
        <f>+IF(D29="ko tính","---",H29*E29)</f>
        <v>7.090030922455523</v>
      </c>
      <c r="J29" s="123">
        <f>+IF(D29="ko tính","---",H29*F29)</f>
        <v>5.317523191841641</v>
      </c>
      <c r="K29" s="156">
        <f>IF(D29="ko tính","---",I29+J29)</f>
        <v>12.407554114297163</v>
      </c>
      <c r="L29" s="119" t="s">
        <v>117</v>
      </c>
      <c r="M29"/>
      <c r="N29" s="171"/>
      <c r="O29"/>
      <c r="P29"/>
    </row>
    <row r="30" spans="1:16" ht="13.5" customHeight="1">
      <c r="A30" s="120">
        <v>14</v>
      </c>
      <c r="B30" s="172">
        <v>3</v>
      </c>
      <c r="C30" s="122">
        <f t="shared" si="4"/>
        <v>42.4</v>
      </c>
      <c r="D30" s="122">
        <f>IF(C30&gt;0,1.844*POWER(C30/'Bảng tra K'!$E$11,2*'Bảng tra K'!$E$12),"ko tính")</f>
        <v>1.4384028517916063</v>
      </c>
      <c r="E30" s="122">
        <f t="shared" si="5"/>
        <v>0.09550994935896268</v>
      </c>
      <c r="F30" s="122">
        <f>IF(D30="ko tính","---",D30*$I$11*1*0.6)</f>
        <v>0.07163246201922199</v>
      </c>
      <c r="G30" s="127">
        <f>IF(D30="ko tính","---",E30+F30)</f>
        <v>0.16714241137818467</v>
      </c>
      <c r="H30" s="122">
        <f t="shared" si="7"/>
        <v>70</v>
      </c>
      <c r="I30" s="123">
        <f>+IF(D30="ko tính","---",H30*E30)</f>
        <v>6.685696455127387</v>
      </c>
      <c r="J30" s="123">
        <f>+IF(D30="ko tính","---",H30*F30)</f>
        <v>5.0142723413455395</v>
      </c>
      <c r="K30" s="156">
        <f>IF(D30="ko tính","---",I30+J30)</f>
        <v>11.699968796472927</v>
      </c>
      <c r="L30" s="119" t="s">
        <v>117</v>
      </c>
      <c r="M30"/>
      <c r="N30" s="171"/>
      <c r="O30"/>
      <c r="P30"/>
    </row>
    <row r="31" spans="1:16" ht="12.75">
      <c r="A31" s="120">
        <v>15</v>
      </c>
      <c r="B31" s="172">
        <v>2.6</v>
      </c>
      <c r="C31" s="122">
        <f t="shared" si="4"/>
        <v>45</v>
      </c>
      <c r="D31" s="122">
        <f>IF(C31&gt;0,1.844*POWER(C31/'Bảng tra K'!$E$11,2*'Bảng tra K'!$E$12),"ko tính")</f>
        <v>1.4504376597521988</v>
      </c>
      <c r="E31" s="122">
        <f t="shared" si="5"/>
        <v>0.09630906060754602</v>
      </c>
      <c r="F31" s="122">
        <f>IF(D31="ko tính","---",D31*$I$11*1*0.6)</f>
        <v>0.0722317954556595</v>
      </c>
      <c r="G31" s="127">
        <f>IF(D31="ko tính","---",E31+F31)</f>
        <v>0.1685408560632055</v>
      </c>
      <c r="H31" s="122">
        <f>(B31/2)*$D$10</f>
        <v>32.5</v>
      </c>
      <c r="I31" s="123">
        <f>+IF(D31="ko tính","---",H31*E31)</f>
        <v>3.1300444697452456</v>
      </c>
      <c r="J31" s="123">
        <f>+IF(D31="ko tính","---",H31*F31)</f>
        <v>2.3475333523089335</v>
      </c>
      <c r="K31" s="156">
        <f>IF(D31="ko tính","---",I31+J31)</f>
        <v>5.4775778220541795</v>
      </c>
      <c r="L31" s="119" t="s">
        <v>117</v>
      </c>
      <c r="M31"/>
      <c r="N31" s="171"/>
      <c r="O31"/>
      <c r="P31"/>
    </row>
    <row r="32" spans="1:16" ht="13.5" customHeight="1">
      <c r="A32" s="104"/>
      <c r="B32" s="114"/>
      <c r="C32" s="114"/>
      <c r="D32" s="114"/>
      <c r="E32" s="124"/>
      <c r="F32" s="124"/>
      <c r="G32" s="125"/>
      <c r="H32" s="124"/>
      <c r="I32" s="124"/>
      <c r="J32" s="115"/>
      <c r="K32" s="115"/>
      <c r="L32" s="145"/>
      <c r="M32"/>
      <c r="N32"/>
      <c r="O32"/>
      <c r="P32"/>
    </row>
    <row r="33" spans="1:16" ht="13.5" customHeight="1">
      <c r="A33" s="99" t="s">
        <v>61</v>
      </c>
      <c r="B33" s="43"/>
      <c r="C33" s="43"/>
      <c r="D33" s="11"/>
      <c r="E33" s="184"/>
      <c r="F33" s="175"/>
      <c r="G33" s="44"/>
      <c r="H33" s="44"/>
      <c r="I33" s="44"/>
      <c r="J33" s="44"/>
      <c r="K33" s="11"/>
      <c r="L33" s="145"/>
      <c r="M33"/>
      <c r="N33"/>
      <c r="O33"/>
      <c r="P33"/>
    </row>
    <row r="34" spans="1:16" ht="13.5" customHeight="1">
      <c r="A34" s="100" t="s">
        <v>62</v>
      </c>
      <c r="B34" s="45"/>
      <c r="C34" s="23"/>
      <c r="D34" s="23"/>
      <c r="E34" s="176"/>
      <c r="F34" s="176"/>
      <c r="G34" s="101" t="s">
        <v>63</v>
      </c>
      <c r="H34" s="45"/>
      <c r="I34" s="23"/>
      <c r="J34" s="11"/>
      <c r="K34" s="11"/>
      <c r="L34" s="145"/>
      <c r="M34"/>
      <c r="N34"/>
      <c r="O34"/>
      <c r="P34"/>
    </row>
    <row r="35" spans="1:16" ht="13.5" customHeight="1">
      <c r="A35" s="104"/>
      <c r="B35" s="114" t="s">
        <v>45</v>
      </c>
      <c r="C35" s="148">
        <f>+SUMPRODUCT(C17:C31,K17:K31)</f>
        <v>3990.8584964976108</v>
      </c>
      <c r="D35" s="114" t="s">
        <v>7</v>
      </c>
      <c r="E35" s="124"/>
      <c r="F35" s="124"/>
      <c r="G35" s="125"/>
      <c r="H35" s="114" t="s">
        <v>46</v>
      </c>
      <c r="I35" s="149">
        <f>SUM(K17:K31)</f>
        <v>166.4216808490732</v>
      </c>
      <c r="J35" s="115" t="s">
        <v>8</v>
      </c>
      <c r="K35" s="115"/>
      <c r="L35" s="145"/>
      <c r="M35"/>
      <c r="N35"/>
      <c r="O35"/>
      <c r="P35"/>
    </row>
    <row r="36" spans="1:16" ht="13.5" customHeight="1" thickBot="1">
      <c r="A36" s="105"/>
      <c r="B36" s="128"/>
      <c r="C36" s="128"/>
      <c r="D36" s="128"/>
      <c r="E36" s="129"/>
      <c r="F36" s="129"/>
      <c r="G36" s="130"/>
      <c r="H36" s="129" t="s">
        <v>64</v>
      </c>
      <c r="I36" s="129"/>
      <c r="J36" s="131"/>
      <c r="K36" s="131"/>
      <c r="L36" s="146"/>
      <c r="M36"/>
      <c r="N36"/>
      <c r="O36"/>
      <c r="P36"/>
    </row>
    <row r="37" spans="13:16" ht="12.75">
      <c r="M37"/>
      <c r="N37"/>
      <c r="O37"/>
      <c r="P37"/>
    </row>
    <row r="38" spans="13:16" ht="12.75">
      <c r="M38"/>
      <c r="N38"/>
      <c r="O38"/>
      <c r="P38"/>
    </row>
    <row r="39" spans="13:16" ht="12.75">
      <c r="M39"/>
      <c r="N39"/>
      <c r="O39"/>
      <c r="P39"/>
    </row>
  </sheetData>
  <sheetProtection formatCells="0" formatColumns="0" formatRows="0" insertColumns="0" insertRows="0" insertHyperlinks="0" deleteColumns="0" deleteRows="0" sort="0" autoFilter="0" pivotTables="0"/>
  <mergeCells count="14">
    <mergeCell ref="A2:B2"/>
    <mergeCell ref="I2:J2"/>
    <mergeCell ref="A3:B3"/>
    <mergeCell ref="A1:I1"/>
    <mergeCell ref="L15:L16"/>
    <mergeCell ref="A15:A16"/>
    <mergeCell ref="C15:C16"/>
    <mergeCell ref="E15:G15"/>
    <mergeCell ref="H15:H16"/>
    <mergeCell ref="D15:D16"/>
    <mergeCell ref="B15:B16"/>
    <mergeCell ref="I15:K15"/>
    <mergeCell ref="A4:B4"/>
    <mergeCell ref="H3:I3"/>
  </mergeCells>
  <dataValidations count="2">
    <dataValidation type="list" allowBlank="1" showInputMessage="1" showErrorMessage="1" sqref="I9">
      <formula1>$Q$2:$Q$4</formula1>
    </dataValidation>
    <dataValidation type="list" allowBlank="1" showInputMessage="1" showErrorMessage="1" sqref="I10">
      <formula1>$P$2:$P$4</formula1>
    </dataValidation>
  </dataValidations>
  <printOptions/>
  <pageMargins left="0.8" right="0.26" top="1.23" bottom="0.3" header="1.69" footer="0.3"/>
  <pageSetup horizontalDpi="600" verticalDpi="600" orientation="portrait" paperSize="9" scale="8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125" zoomScaleNormal="110" zoomScaleSheetLayoutView="125" zoomScalePageLayoutView="0" workbookViewId="0" topLeftCell="A10">
      <selection activeCell="G11" sqref="G11:H11"/>
    </sheetView>
  </sheetViews>
  <sheetFormatPr defaultColWidth="9.140625" defaultRowHeight="12.75"/>
  <cols>
    <col min="1" max="1" width="7.421875" style="1" customWidth="1"/>
    <col min="2" max="2" width="6.28125" style="1" customWidth="1"/>
    <col min="3" max="3" width="7.57421875" style="1" customWidth="1"/>
    <col min="4" max="4" width="6.28125" style="1" customWidth="1"/>
    <col min="5" max="10" width="8.7109375" style="1" customWidth="1"/>
    <col min="11" max="11" width="8.7109375" style="188" customWidth="1"/>
    <col min="12" max="12" width="8.7109375" style="1" customWidth="1"/>
    <col min="13" max="16384" width="9.140625" style="1" customWidth="1"/>
  </cols>
  <sheetData>
    <row r="1" spans="1:24" ht="30.75" customHeight="1">
      <c r="A1" s="251" t="s">
        <v>122</v>
      </c>
      <c r="B1" s="252"/>
      <c r="C1" s="252"/>
      <c r="D1" s="252"/>
      <c r="E1" s="252"/>
      <c r="F1" s="252"/>
      <c r="G1" s="252"/>
      <c r="H1" s="252"/>
      <c r="I1" s="202"/>
      <c r="J1" s="200"/>
      <c r="K1" s="200"/>
      <c r="L1" s="201"/>
      <c r="U1" s="8"/>
      <c r="V1" s="8"/>
      <c r="W1" s="8"/>
      <c r="X1" s="8"/>
    </row>
    <row r="2" spans="1:26" s="12" customFormat="1" ht="12.75" customHeight="1">
      <c r="A2" s="261" t="s">
        <v>51</v>
      </c>
      <c r="B2" s="262"/>
      <c r="C2" s="11"/>
      <c r="D2" s="101" t="s">
        <v>52</v>
      </c>
      <c r="E2" s="23"/>
      <c r="F2" s="23"/>
      <c r="G2" s="10"/>
      <c r="H2" s="10"/>
      <c r="I2" s="11"/>
      <c r="J2" s="272">
        <f ca="1">TODAY()</f>
        <v>42500</v>
      </c>
      <c r="K2" s="272"/>
      <c r="L2" s="20"/>
      <c r="Q2" s="12">
        <v>6</v>
      </c>
      <c r="R2" s="12" t="s">
        <v>0</v>
      </c>
      <c r="S2" s="13" t="s">
        <v>5</v>
      </c>
      <c r="T2" s="14">
        <f>+SUMPRODUCT(C25:C39,G25:G39)</f>
        <v>57.11242184882854</v>
      </c>
      <c r="U2" s="15"/>
      <c r="V2" s="14">
        <f>+SUMPRODUCT(C25:C39,I25:I39)</f>
        <v>18.81137197981949</v>
      </c>
      <c r="W2" s="16"/>
      <c r="X2" s="14">
        <f>+SUMPRODUCT(C25:C39,E25:E39)</f>
        <v>-1.48054</v>
      </c>
      <c r="Y2" s="16"/>
      <c r="Z2" s="16"/>
    </row>
    <row r="3" spans="1:26" s="12" customFormat="1" ht="12.75" customHeight="1">
      <c r="A3" s="203" t="str">
        <f>IF($K$3="Vietnam","Tên công trình:","Project:")</f>
        <v>Project:</v>
      </c>
      <c r="B3" s="11"/>
      <c r="C3" s="11"/>
      <c r="D3" s="23">
        <f>'Static part-Y'!C3</f>
        <v>0</v>
      </c>
      <c r="E3" s="23"/>
      <c r="F3" s="23"/>
      <c r="G3" s="10"/>
      <c r="H3" s="11"/>
      <c r="I3" s="271" t="str">
        <f>IF($K$3="Vietnam","Ngôn ngữ:","Language:")</f>
        <v>Language:</v>
      </c>
      <c r="J3" s="271"/>
      <c r="K3" s="57" t="s">
        <v>65</v>
      </c>
      <c r="L3" s="20"/>
      <c r="Q3" s="12">
        <v>7</v>
      </c>
      <c r="R3" s="12" t="s">
        <v>1</v>
      </c>
      <c r="S3" s="13" t="s">
        <v>6</v>
      </c>
      <c r="T3" s="14">
        <f>+SUMPRODUCT(C25:C39,G25:G39,G25:G39)</f>
        <v>9.10205730908234</v>
      </c>
      <c r="U3" s="15"/>
      <c r="V3" s="14">
        <f>+SUMPRODUCT(C25:C39,I25:I39,I25:I39)</f>
        <v>0.984060994014715</v>
      </c>
      <c r="W3" s="16"/>
      <c r="X3" s="14">
        <f>+SUMPRODUCT(C25:C39,E25:E39,E25:E39)</f>
        <v>0.007095649999999999</v>
      </c>
      <c r="Y3" s="16"/>
      <c r="Z3" s="16"/>
    </row>
    <row r="4" spans="1:24" s="12" customFormat="1" ht="12.75" customHeight="1">
      <c r="A4" s="203" t="str">
        <f>IF($K$3="Vietnam","Người thực hiện:","Computed by")</f>
        <v>Computed by</v>
      </c>
      <c r="B4" s="11"/>
      <c r="C4" s="11"/>
      <c r="D4" s="23">
        <f>'Static part-Y'!C4</f>
        <v>0</v>
      </c>
      <c r="E4" s="23"/>
      <c r="F4" s="23"/>
      <c r="G4" s="17"/>
      <c r="H4" s="11"/>
      <c r="I4" s="11"/>
      <c r="J4" s="11"/>
      <c r="K4" s="184"/>
      <c r="L4" s="20"/>
      <c r="Q4" s="12">
        <v>8</v>
      </c>
      <c r="R4" s="12" t="s">
        <v>2</v>
      </c>
      <c r="U4" s="18"/>
      <c r="V4" s="18"/>
      <c r="W4" s="18"/>
      <c r="X4" s="18"/>
    </row>
    <row r="5" spans="1:24" s="12" customFormat="1" ht="12.75" customHeight="1">
      <c r="A5" s="54" t="s">
        <v>53</v>
      </c>
      <c r="B5" s="23"/>
      <c r="C5" s="11"/>
      <c r="D5" s="204" t="s">
        <v>4</v>
      </c>
      <c r="E5" s="23"/>
      <c r="F5" s="23"/>
      <c r="G5" s="17"/>
      <c r="H5" s="9"/>
      <c r="I5" s="10"/>
      <c r="J5" s="10"/>
      <c r="K5" s="184"/>
      <c r="L5" s="20"/>
      <c r="Q5" s="12">
        <v>9</v>
      </c>
      <c r="U5" s="19"/>
      <c r="V5" s="19"/>
      <c r="W5" s="19"/>
      <c r="X5" s="19"/>
    </row>
    <row r="6" spans="1:24" s="12" customFormat="1" ht="6.75" customHeight="1" hidden="1">
      <c r="A6" s="21"/>
      <c r="B6" s="10"/>
      <c r="C6" s="11"/>
      <c r="D6" s="10"/>
      <c r="E6" s="10"/>
      <c r="F6" s="10"/>
      <c r="G6" s="17"/>
      <c r="H6" s="9"/>
      <c r="I6" s="10"/>
      <c r="J6" s="10"/>
      <c r="K6" s="184"/>
      <c r="L6" s="20"/>
      <c r="U6" s="19"/>
      <c r="V6" s="19"/>
      <c r="W6" s="19"/>
      <c r="X6" s="19"/>
    </row>
    <row r="7" spans="1:12" s="12" customFormat="1" ht="12.75" customHeight="1">
      <c r="A7" s="22" t="str">
        <f>IF($K$3="Vietnam","1. Số liệu tính toán","1. Input data")</f>
        <v>1. Input data</v>
      </c>
      <c r="B7" s="23"/>
      <c r="C7" s="23"/>
      <c r="D7" s="23"/>
      <c r="E7" s="23"/>
      <c r="F7" s="23"/>
      <c r="G7" s="24"/>
      <c r="H7" s="11"/>
      <c r="I7" s="23"/>
      <c r="J7" s="23"/>
      <c r="K7" s="184"/>
      <c r="L7" s="20"/>
    </row>
    <row r="8" spans="1:18" s="12" customFormat="1" ht="12.75" customHeight="1">
      <c r="A8" s="25" t="s">
        <v>97</v>
      </c>
      <c r="B8" s="11"/>
      <c r="C8" s="11"/>
      <c r="D8" s="24"/>
      <c r="E8" s="23"/>
      <c r="F8" s="11"/>
      <c r="G8" s="26">
        <v>1</v>
      </c>
      <c r="H8" s="11"/>
      <c r="I8" s="27"/>
      <c r="J8" s="11"/>
      <c r="K8" s="184"/>
      <c r="L8" s="20"/>
      <c r="Q8" s="150" t="s">
        <v>90</v>
      </c>
      <c r="R8" s="109">
        <f>SUMPRODUCT(E25:E39,I25:I39)/SUMPRODUCT(E25:E39,E25:E39,D25:D39)</f>
        <v>-0.019656412614881824</v>
      </c>
    </row>
    <row r="9" spans="1:12" s="12" customFormat="1" ht="12.75" customHeight="1">
      <c r="A9" s="25" t="s">
        <v>96</v>
      </c>
      <c r="B9" s="11"/>
      <c r="C9" s="11"/>
      <c r="D9" s="24"/>
      <c r="E9" s="23"/>
      <c r="F9" s="11"/>
      <c r="G9" s="26">
        <v>1.2</v>
      </c>
      <c r="H9" s="11"/>
      <c r="I9" s="29"/>
      <c r="J9" s="11"/>
      <c r="K9" s="184"/>
      <c r="L9" s="20"/>
    </row>
    <row r="10" spans="1:13" s="12" customFormat="1" ht="12.75" customHeight="1">
      <c r="A10" s="25" t="s">
        <v>94</v>
      </c>
      <c r="B10" s="11"/>
      <c r="C10" s="11"/>
      <c r="D10" s="24"/>
      <c r="E10" s="23"/>
      <c r="F10" s="11"/>
      <c r="G10" s="138">
        <v>1.7</v>
      </c>
      <c r="H10" s="11"/>
      <c r="I10" s="29"/>
      <c r="J10" s="11"/>
      <c r="K10" s="184"/>
      <c r="L10" s="20"/>
      <c r="M10" s="12" t="s">
        <v>121</v>
      </c>
    </row>
    <row r="11" spans="1:12" s="12" customFormat="1" ht="12.75" customHeight="1">
      <c r="A11" s="25" t="s">
        <v>95</v>
      </c>
      <c r="B11" s="11"/>
      <c r="C11" s="11"/>
      <c r="D11" s="24"/>
      <c r="E11" s="23"/>
      <c r="F11" s="11"/>
      <c r="G11" s="274">
        <f>SQRT($G$9*10*'Static part-Y'!$I$11*10^3)/(940*$F$17)</f>
        <v>0.07285536686933854</v>
      </c>
      <c r="H11" s="274">
        <f>SQRT($G$9*9.81*'[1]Start'!$G$4*10^3)/(940*$F$17)</f>
        <v>0.07720026828788318</v>
      </c>
      <c r="I11" s="24"/>
      <c r="J11" s="11"/>
      <c r="K11" s="184"/>
      <c r="L11" s="20"/>
    </row>
    <row r="12" spans="1:12" s="12" customFormat="1" ht="13.5">
      <c r="A12" s="25" t="s">
        <v>93</v>
      </c>
      <c r="B12" s="11"/>
      <c r="C12" s="11"/>
      <c r="D12" s="24"/>
      <c r="E12" s="11"/>
      <c r="F12" s="11"/>
      <c r="G12" s="108">
        <f>+'Bảng tra K'!C45</f>
        <v>0.747</v>
      </c>
      <c r="H12" s="139"/>
      <c r="I12" s="24"/>
      <c r="J12" s="23"/>
      <c r="K12" s="184"/>
      <c r="L12" s="20"/>
    </row>
    <row r="13" spans="1:12" s="12" customFormat="1" ht="5.25" customHeight="1">
      <c r="A13" s="25"/>
      <c r="B13" s="11"/>
      <c r="C13" s="11"/>
      <c r="D13" s="24"/>
      <c r="E13" s="11"/>
      <c r="F13" s="11"/>
      <c r="G13" s="26"/>
      <c r="H13" s="11"/>
      <c r="I13" s="24"/>
      <c r="J13" s="23"/>
      <c r="K13" s="184"/>
      <c r="L13" s="20"/>
    </row>
    <row r="14" spans="1:12" s="12" customFormat="1" ht="12.75" customHeight="1">
      <c r="A14" s="22" t="s">
        <v>66</v>
      </c>
      <c r="B14" s="24"/>
      <c r="C14" s="11"/>
      <c r="D14" s="11"/>
      <c r="E14" s="26"/>
      <c r="F14" s="30"/>
      <c r="G14" s="24"/>
      <c r="H14" s="23"/>
      <c r="I14" s="11"/>
      <c r="J14" s="11"/>
      <c r="K14" s="184"/>
      <c r="L14" s="20"/>
    </row>
    <row r="15" spans="1:12" s="12" customFormat="1" ht="6.75" customHeight="1">
      <c r="A15" s="22"/>
      <c r="B15" s="24"/>
      <c r="C15" s="11"/>
      <c r="D15" s="11"/>
      <c r="E15" s="26"/>
      <c r="F15" s="30"/>
      <c r="G15" s="24"/>
      <c r="H15" s="23"/>
      <c r="I15" s="11"/>
      <c r="J15" s="11"/>
      <c r="K15" s="184"/>
      <c r="L15" s="20"/>
    </row>
    <row r="16" spans="1:12" s="12" customFormat="1" ht="12.75" customHeight="1">
      <c r="A16" s="31"/>
      <c r="B16" s="11"/>
      <c r="C16" s="273" t="s">
        <v>85</v>
      </c>
      <c r="D16" s="273"/>
      <c r="E16" s="32" t="s">
        <v>87</v>
      </c>
      <c r="F16" s="33" t="s">
        <v>88</v>
      </c>
      <c r="G16" s="59"/>
      <c r="H16" s="11"/>
      <c r="I16" s="34"/>
      <c r="J16" s="11"/>
      <c r="K16" s="184"/>
      <c r="L16" s="20"/>
    </row>
    <row r="17" spans="1:12" s="12" customFormat="1" ht="12.75" customHeight="1">
      <c r="A17" s="31"/>
      <c r="B17" s="11"/>
      <c r="C17" s="275" t="s">
        <v>101</v>
      </c>
      <c r="D17" s="275"/>
      <c r="E17" s="140">
        <v>2.17</v>
      </c>
      <c r="F17" s="166">
        <f>1/E17</f>
        <v>0.4608294930875576</v>
      </c>
      <c r="G17" s="11"/>
      <c r="H17" s="11"/>
      <c r="I17" s="110"/>
      <c r="J17" s="110"/>
      <c r="K17" s="185"/>
      <c r="L17" s="20"/>
    </row>
    <row r="18" spans="1:12" s="12" customFormat="1" ht="12.75" customHeight="1">
      <c r="A18" s="31"/>
      <c r="B18" s="11"/>
      <c r="C18" s="273" t="s">
        <v>118</v>
      </c>
      <c r="D18" s="273"/>
      <c r="E18" s="35">
        <v>1.57</v>
      </c>
      <c r="F18" s="58">
        <f>1/E18</f>
        <v>0.6369426751592356</v>
      </c>
      <c r="G18" s="24" t="s">
        <v>40</v>
      </c>
      <c r="H18" s="151" t="str">
        <f>IF(F17&gt;F20,"Chỉ tính đến tp xung vtốc gió",IF(AND(F17&lt;F20,F18&gt;F20),"Chỉ tính đến dạng dao động 1",IF(AND(F17&lt;F20,F18&lt;F20,F19&gt;F20),"have to consider two vibration modes:1 &amp; 2",IF(AND(F17&lt;F20,F18&lt;F20,F19&lt;F20),"Tính đến cả ba dạng dao động","xét đến n dạng dao động có f&lt;fL"))))</f>
        <v>Tính đến cả ba dạng dao động</v>
      </c>
      <c r="I18" s="110"/>
      <c r="J18" s="110"/>
      <c r="K18" s="185"/>
      <c r="L18" s="20"/>
    </row>
    <row r="19" spans="1:12" s="12" customFormat="1" ht="12.75" customHeight="1">
      <c r="A19" s="31"/>
      <c r="B19" s="11"/>
      <c r="C19" s="273" t="s">
        <v>120</v>
      </c>
      <c r="D19" s="273"/>
      <c r="E19" s="35">
        <v>0.89</v>
      </c>
      <c r="F19" s="58">
        <f>1/E19</f>
        <v>1.1235955056179776</v>
      </c>
      <c r="G19" s="11"/>
      <c r="H19" s="11"/>
      <c r="I19" s="34"/>
      <c r="J19" s="11"/>
      <c r="K19" s="184"/>
      <c r="L19" s="20"/>
    </row>
    <row r="20" spans="1:12" s="12" customFormat="1" ht="12.75" customHeight="1">
      <c r="A20" s="31"/>
      <c r="B20" s="11"/>
      <c r="C20" s="273" t="s">
        <v>86</v>
      </c>
      <c r="D20" s="273"/>
      <c r="E20" s="60" t="s">
        <v>10</v>
      </c>
      <c r="F20" s="58">
        <v>1.3</v>
      </c>
      <c r="G20" s="11"/>
      <c r="H20" s="48"/>
      <c r="I20" s="34"/>
      <c r="J20" s="11"/>
      <c r="K20" s="184"/>
      <c r="L20" s="20"/>
    </row>
    <row r="21" spans="1:12" s="12" customFormat="1" ht="5.25" customHeight="1">
      <c r="A21" s="31"/>
      <c r="B21" s="11"/>
      <c r="C21" s="24"/>
      <c r="D21" s="24"/>
      <c r="E21" s="57"/>
      <c r="F21" s="48"/>
      <c r="G21" s="11"/>
      <c r="H21" s="48"/>
      <c r="I21" s="34"/>
      <c r="J21" s="11"/>
      <c r="K21" s="184"/>
      <c r="L21" s="20"/>
    </row>
    <row r="22" spans="1:12" s="12" customFormat="1" ht="12.75" customHeight="1">
      <c r="A22" s="22" t="s">
        <v>110</v>
      </c>
      <c r="B22" s="23"/>
      <c r="C22" s="23"/>
      <c r="D22" s="23"/>
      <c r="E22" s="11"/>
      <c r="F22" s="36"/>
      <c r="G22" s="37"/>
      <c r="H22" s="11"/>
      <c r="I22" s="11"/>
      <c r="J22" s="11"/>
      <c r="K22" s="184"/>
      <c r="L22" s="20"/>
    </row>
    <row r="23" spans="1:12" s="12" customFormat="1" ht="5.25" customHeight="1">
      <c r="A23" s="22"/>
      <c r="B23" s="23"/>
      <c r="C23" s="23"/>
      <c r="D23" s="23"/>
      <c r="E23" s="11"/>
      <c r="F23" s="36"/>
      <c r="G23" s="37"/>
      <c r="H23" s="11"/>
      <c r="I23" s="11"/>
      <c r="J23" s="11"/>
      <c r="K23" s="184"/>
      <c r="L23" s="20"/>
    </row>
    <row r="24" spans="1:12" s="12" customFormat="1" ht="62.25" customHeight="1">
      <c r="A24" s="106" t="s">
        <v>70</v>
      </c>
      <c r="B24" s="33" t="s">
        <v>84</v>
      </c>
      <c r="C24" s="33" t="s">
        <v>71</v>
      </c>
      <c r="D24" s="107" t="s">
        <v>72</v>
      </c>
      <c r="E24" s="107" t="s">
        <v>104</v>
      </c>
      <c r="F24" s="107" t="s">
        <v>89</v>
      </c>
      <c r="G24" s="107" t="s">
        <v>92</v>
      </c>
      <c r="H24" s="107" t="s">
        <v>91</v>
      </c>
      <c r="I24" s="107" t="s">
        <v>100</v>
      </c>
      <c r="J24" s="107" t="s">
        <v>98</v>
      </c>
      <c r="K24" s="189" t="s">
        <v>99</v>
      </c>
      <c r="L24" s="119" t="s">
        <v>83</v>
      </c>
    </row>
    <row r="25" spans="1:12" s="12" customFormat="1" ht="12.75" customHeight="1">
      <c r="A25" s="38">
        <f>'Static part-Y'!A17</f>
        <v>1</v>
      </c>
      <c r="B25" s="39">
        <f>'Static part-Y'!B17</f>
        <v>1.2</v>
      </c>
      <c r="C25" s="58">
        <f>+'Static part-Y'!C17</f>
        <v>1.2</v>
      </c>
      <c r="D25" s="205">
        <v>750</v>
      </c>
      <c r="E25" s="250">
        <v>0</v>
      </c>
      <c r="F25" s="58">
        <f>'Static part-X'!H17</f>
        <v>43.39999999999999</v>
      </c>
      <c r="G25" s="112">
        <f>+'Static part-X'!G17</f>
        <v>0.10147073776179422</v>
      </c>
      <c r="H25" s="112">
        <f>IF(C25&gt;0,0.486*(C25/10)^-0.09,"---")</f>
        <v>0.5881795992477002</v>
      </c>
      <c r="I25" s="112">
        <f>IF(G25="---","---",G25*H25*$G$12)</f>
        <v>0.04458321435045915</v>
      </c>
      <c r="J25" s="41">
        <f>IF(G25="---","---",D25*$G$10*$R$8*E25)</f>
        <v>0</v>
      </c>
      <c r="K25" s="167">
        <f>IF(G25="---","---",F25*J25)</f>
        <v>0</v>
      </c>
      <c r="L25" s="119" t="str">
        <f>'Static part-Y'!L17</f>
        <v>D</v>
      </c>
    </row>
    <row r="26" spans="1:12" s="12" customFormat="1" ht="12.75" customHeight="1">
      <c r="A26" s="38">
        <f>'Static part-Y'!A18</f>
        <v>2</v>
      </c>
      <c r="B26" s="39">
        <f>'Static part-Y'!B18</f>
        <v>3.8</v>
      </c>
      <c r="C26" s="58">
        <f>+'Static part-Y'!C18</f>
        <v>5</v>
      </c>
      <c r="D26" s="205">
        <v>515</v>
      </c>
      <c r="E26" s="250">
        <v>-0.0004</v>
      </c>
      <c r="F26" s="58">
        <f>'Static part-X'!H18</f>
        <v>49</v>
      </c>
      <c r="G26" s="112">
        <f>+'Static part-X'!G18</f>
        <v>0.12391139438738087</v>
      </c>
      <c r="H26" s="112">
        <f aca="true" t="shared" si="0" ref="H26:H39">IF(C26&gt;0,0.486*(C26/10)^-0.09,"---")</f>
        <v>0.5172839086723329</v>
      </c>
      <c r="I26" s="112">
        <f aca="true" t="shared" si="1" ref="I26:I39">IF(G26="---","---",G26*H26*$G$12)</f>
        <v>0.047880735702054276</v>
      </c>
      <c r="J26" s="41">
        <f aca="true" t="shared" si="2" ref="J26:J39">IF(G26="---","---",D26*$G$10*$R$8*E26)</f>
        <v>0.006883675697731614</v>
      </c>
      <c r="K26" s="167">
        <f aca="true" t="shared" si="3" ref="K26:K39">IF(G26="---","---",F26*J26)</f>
        <v>0.3373001091888491</v>
      </c>
      <c r="L26" s="119" t="str">
        <f>'Static part-Y'!L18</f>
        <v>D</v>
      </c>
    </row>
    <row r="27" spans="1:12" s="12" customFormat="1" ht="12.75" customHeight="1">
      <c r="A27" s="38">
        <f>'Static part-Y'!A19</f>
        <v>3</v>
      </c>
      <c r="B27" s="39">
        <f>'Static part-Y'!B19</f>
        <v>3.2</v>
      </c>
      <c r="C27" s="58">
        <f>+'Static part-Y'!C19</f>
        <v>8.2</v>
      </c>
      <c r="D27" s="205">
        <v>737</v>
      </c>
      <c r="E27" s="250">
        <v>-0.001</v>
      </c>
      <c r="F27" s="58">
        <f>'Static part-X'!H19</f>
        <v>44.800000000000004</v>
      </c>
      <c r="G27" s="112">
        <f>+'Static part-X'!G19</f>
        <v>0.13279734211520688</v>
      </c>
      <c r="H27" s="112">
        <f t="shared" si="0"/>
        <v>0.494758224744355</v>
      </c>
      <c r="I27" s="112">
        <f t="shared" si="1"/>
        <v>0.04907982519505932</v>
      </c>
      <c r="J27" s="41">
        <f t="shared" si="2"/>
        <v>0.024627519365185434</v>
      </c>
      <c r="K27" s="167">
        <f t="shared" si="3"/>
        <v>1.1033128675603077</v>
      </c>
      <c r="L27" s="119" t="str">
        <f>'Static part-Y'!L19</f>
        <v>D</v>
      </c>
    </row>
    <row r="28" spans="1:12" s="12" customFormat="1" ht="12.75" customHeight="1">
      <c r="A28" s="38">
        <f>'Static part-Y'!A20</f>
        <v>4</v>
      </c>
      <c r="B28" s="39">
        <f>'Static part-Y'!B20</f>
        <v>3.2</v>
      </c>
      <c r="C28" s="58">
        <f>+'Static part-Y'!C20</f>
        <v>11.399999999999999</v>
      </c>
      <c r="D28" s="205">
        <v>780</v>
      </c>
      <c r="E28" s="250">
        <v>-0.0016</v>
      </c>
      <c r="F28" s="58">
        <f>'Static part-X'!H20</f>
        <v>50.4</v>
      </c>
      <c r="G28" s="112">
        <f>+'Static part-X'!G20</f>
        <v>0.139066371337922</v>
      </c>
      <c r="H28" s="112">
        <f t="shared" si="0"/>
        <v>0.4803024839322135</v>
      </c>
      <c r="I28" s="112">
        <f t="shared" si="1"/>
        <v>0.0498950609180275</v>
      </c>
      <c r="J28" s="41">
        <f t="shared" si="2"/>
        <v>0.04170304500373328</v>
      </c>
      <c r="K28" s="167">
        <f t="shared" si="3"/>
        <v>2.101833468188157</v>
      </c>
      <c r="L28" s="119" t="str">
        <f>'Static part-Y'!L20</f>
        <v>D</v>
      </c>
    </row>
    <row r="29" spans="1:12" s="12" customFormat="1" ht="12.75" customHeight="1">
      <c r="A29" s="38">
        <f>'Static part-Y'!A21</f>
        <v>5</v>
      </c>
      <c r="B29" s="39">
        <f>'Static part-Y'!B21</f>
        <v>4</v>
      </c>
      <c r="C29" s="58">
        <f>+'Static part-Y'!C21</f>
        <v>15.399999999999999</v>
      </c>
      <c r="D29" s="205">
        <v>688</v>
      </c>
      <c r="E29" s="250">
        <v>-0.0023</v>
      </c>
      <c r="F29" s="58">
        <f>'Static part-X'!H21</f>
        <v>49</v>
      </c>
      <c r="G29" s="112">
        <f>+'Static part-X'!G21</f>
        <v>0.14504686431439412</v>
      </c>
      <c r="H29" s="112">
        <f t="shared" si="0"/>
        <v>0.4674760915830606</v>
      </c>
      <c r="I29" s="112">
        <f t="shared" si="1"/>
        <v>0.05065103809587538</v>
      </c>
      <c r="J29" s="41">
        <f t="shared" si="2"/>
        <v>0.05287732244704129</v>
      </c>
      <c r="K29" s="167">
        <f t="shared" si="3"/>
        <v>2.5909887999050234</v>
      </c>
      <c r="L29" s="119" t="str">
        <f>'Static part-Y'!L21</f>
        <v>D</v>
      </c>
    </row>
    <row r="30" spans="1:12" s="12" customFormat="1" ht="12.75" customHeight="1">
      <c r="A30" s="38">
        <f>'Static part-Y'!A22</f>
        <v>6</v>
      </c>
      <c r="B30" s="39">
        <f>'Static part-Y'!B22</f>
        <v>3</v>
      </c>
      <c r="C30" s="58">
        <f>+'Static part-Y'!C22</f>
        <v>18.4</v>
      </c>
      <c r="D30" s="205">
        <v>617</v>
      </c>
      <c r="E30" s="250">
        <v>-0.0029</v>
      </c>
      <c r="F30" s="58">
        <f>'Static part-X'!H22</f>
        <v>42</v>
      </c>
      <c r="G30" s="112">
        <f>+'Static part-X'!G22</f>
        <v>0.14870649545176287</v>
      </c>
      <c r="H30" s="112">
        <f t="shared" si="0"/>
        <v>0.4600474896180824</v>
      </c>
      <c r="I30" s="112">
        <f t="shared" si="1"/>
        <v>0.05110380129209727</v>
      </c>
      <c r="J30" s="41">
        <f t="shared" si="2"/>
        <v>0.05979107245607367</v>
      </c>
      <c r="K30" s="167">
        <f t="shared" si="3"/>
        <v>2.511225043155094</v>
      </c>
      <c r="L30" s="119" t="str">
        <f>'Static part-Y'!L22</f>
        <v>D</v>
      </c>
    </row>
    <row r="31" spans="1:14" s="12" customFormat="1" ht="12.75" customHeight="1">
      <c r="A31" s="38">
        <f>'Static part-Y'!A23</f>
        <v>7</v>
      </c>
      <c r="B31" s="39">
        <f>'Static part-Y'!B23</f>
        <v>3</v>
      </c>
      <c r="C31" s="58">
        <f>+'Static part-Y'!C23</f>
        <v>21.4</v>
      </c>
      <c r="D31" s="205">
        <v>618</v>
      </c>
      <c r="E31" s="250">
        <v>-0.0035</v>
      </c>
      <c r="F31" s="58">
        <f>'Static part-X'!H23</f>
        <v>42</v>
      </c>
      <c r="G31" s="112">
        <f>+'Static part-X'!G23</f>
        <v>0.15188447061893495</v>
      </c>
      <c r="H31" s="112">
        <f t="shared" si="0"/>
        <v>0.4538360907612247</v>
      </c>
      <c r="I31" s="112">
        <f t="shared" si="1"/>
        <v>0.05149119883159754</v>
      </c>
      <c r="J31" s="41">
        <f t="shared" si="2"/>
        <v>0.07227859482618194</v>
      </c>
      <c r="K31" s="167">
        <f t="shared" si="3"/>
        <v>3.0357009826996415</v>
      </c>
      <c r="L31" s="119" t="str">
        <f>'Static part-Y'!L23</f>
        <v>D</v>
      </c>
      <c r="N31" s="165"/>
    </row>
    <row r="32" spans="1:12" s="12" customFormat="1" ht="12.75" customHeight="1">
      <c r="A32" s="38">
        <f>'Static part-Y'!A24</f>
        <v>8</v>
      </c>
      <c r="B32" s="39">
        <f>'Static part-Y'!B24</f>
        <v>3</v>
      </c>
      <c r="C32" s="58">
        <f>+'Static part-Y'!C24</f>
        <v>24.4</v>
      </c>
      <c r="D32" s="205">
        <v>618</v>
      </c>
      <c r="E32" s="250">
        <v>-0.004</v>
      </c>
      <c r="F32" s="58">
        <f>'Static part-X'!H24</f>
        <v>42</v>
      </c>
      <c r="G32" s="112">
        <f>+'Static part-X'!G24</f>
        <v>0.15469989511256305</v>
      </c>
      <c r="H32" s="112">
        <f t="shared" si="0"/>
        <v>0.44850902340135607</v>
      </c>
      <c r="I32" s="112">
        <f t="shared" si="1"/>
        <v>0.05183007126128922</v>
      </c>
      <c r="J32" s="41">
        <f t="shared" si="2"/>
        <v>0.08260410837277937</v>
      </c>
      <c r="K32" s="167">
        <f t="shared" si="3"/>
        <v>3.4693725516567335</v>
      </c>
      <c r="L32" s="119" t="str">
        <f>'Static part-Y'!L24</f>
        <v>D</v>
      </c>
    </row>
    <row r="33" spans="1:12" s="12" customFormat="1" ht="12.75" customHeight="1">
      <c r="A33" s="38">
        <f>'Static part-Y'!A25</f>
        <v>9</v>
      </c>
      <c r="B33" s="39">
        <f>'Static part-Y'!B25</f>
        <v>3</v>
      </c>
      <c r="C33" s="58">
        <f>+'Static part-Y'!C25</f>
        <v>27.4</v>
      </c>
      <c r="D33" s="205">
        <v>618</v>
      </c>
      <c r="E33" s="250">
        <v>-0.0045</v>
      </c>
      <c r="F33" s="58">
        <f>'Static part-X'!H25</f>
        <v>42</v>
      </c>
      <c r="G33" s="112">
        <f>+'Static part-X'!G25</f>
        <v>0.15723184926279016</v>
      </c>
      <c r="H33" s="112">
        <f t="shared" si="0"/>
        <v>0.4438525492820627</v>
      </c>
      <c r="I33" s="112">
        <f t="shared" si="1"/>
        <v>0.05213145457134595</v>
      </c>
      <c r="J33" s="41">
        <f t="shared" si="2"/>
        <v>0.09292962191937677</v>
      </c>
      <c r="K33" s="167">
        <f t="shared" si="3"/>
        <v>3.9030441206138247</v>
      </c>
      <c r="L33" s="119" t="str">
        <f>'Static part-Y'!L25</f>
        <v>D</v>
      </c>
    </row>
    <row r="34" spans="1:12" s="12" customFormat="1" ht="12" customHeight="1">
      <c r="A34" s="38">
        <f>'Static part-Y'!A26</f>
        <v>10</v>
      </c>
      <c r="B34" s="39">
        <f>'Static part-Y'!B26</f>
        <v>3</v>
      </c>
      <c r="C34" s="58">
        <f>+'Static part-Y'!C26</f>
        <v>30.4</v>
      </c>
      <c r="D34" s="205">
        <v>612</v>
      </c>
      <c r="E34" s="250">
        <v>-0.0049</v>
      </c>
      <c r="F34" s="58">
        <f>'Static part-X'!H26</f>
        <v>42</v>
      </c>
      <c r="G34" s="112">
        <f>+'Static part-X'!G26</f>
        <v>0.15953564968210496</v>
      </c>
      <c r="H34" s="112">
        <f t="shared" si="0"/>
        <v>0.43972144527503815</v>
      </c>
      <c r="I34" s="112">
        <f t="shared" si="1"/>
        <v>0.05240298109897721</v>
      </c>
      <c r="J34" s="41">
        <f t="shared" si="2"/>
        <v>0.10020760525416292</v>
      </c>
      <c r="K34" s="167">
        <f t="shared" si="3"/>
        <v>4.208719420674843</v>
      </c>
      <c r="L34" s="119" t="str">
        <f>'Static part-Y'!L26</f>
        <v>D</v>
      </c>
    </row>
    <row r="35" spans="1:12" s="12" customFormat="1" ht="12.75" customHeight="1">
      <c r="A35" s="38">
        <f>'Static part-Y'!A27</f>
        <v>11</v>
      </c>
      <c r="B35" s="39">
        <f>'Static part-Y'!B27</f>
        <v>3</v>
      </c>
      <c r="C35" s="58">
        <f>+'Static part-Y'!C27</f>
        <v>33.4</v>
      </c>
      <c r="D35" s="205">
        <v>612</v>
      </c>
      <c r="E35" s="250">
        <v>-0.0053</v>
      </c>
      <c r="F35" s="58">
        <f>'Static part-X'!H27</f>
        <v>42</v>
      </c>
      <c r="G35" s="112">
        <f>+'Static part-X'!G27</f>
        <v>0.16165157817687237</v>
      </c>
      <c r="H35" s="112">
        <f t="shared" si="0"/>
        <v>0.43601264763764325</v>
      </c>
      <c r="I35" s="112">
        <f t="shared" si="1"/>
        <v>0.05265015304898909</v>
      </c>
      <c r="J35" s="41">
        <f t="shared" si="2"/>
        <v>0.10838781792797214</v>
      </c>
      <c r="K35" s="167">
        <f t="shared" si="3"/>
        <v>4.55228835297483</v>
      </c>
      <c r="L35" s="119" t="str">
        <f>'Static part-Y'!L27</f>
        <v>D</v>
      </c>
    </row>
    <row r="36" spans="1:12" s="12" customFormat="1" ht="12.75" customHeight="1">
      <c r="A36" s="38">
        <f>'Static part-Y'!A28</f>
        <v>12</v>
      </c>
      <c r="B36" s="39">
        <f>'Static part-Y'!B28</f>
        <v>3</v>
      </c>
      <c r="C36" s="58">
        <f>+'Static part-Y'!C28</f>
        <v>36.4</v>
      </c>
      <c r="D36" s="205">
        <v>612</v>
      </c>
      <c r="E36" s="250">
        <v>-0.0056</v>
      </c>
      <c r="F36" s="58">
        <f>'Static part-X'!H28</f>
        <v>42</v>
      </c>
      <c r="G36" s="112">
        <f>+'Static part-X'!G28</f>
        <v>0.1636099218773056</v>
      </c>
      <c r="H36" s="112">
        <f t="shared" si="0"/>
        <v>0.43265043502952</v>
      </c>
      <c r="I36" s="112">
        <f t="shared" si="1"/>
        <v>0.05287707019489546</v>
      </c>
      <c r="J36" s="41">
        <f t="shared" si="2"/>
        <v>0.11452297743332905</v>
      </c>
      <c r="K36" s="167">
        <f t="shared" si="3"/>
        <v>4.8099650521998205</v>
      </c>
      <c r="L36" s="119" t="str">
        <f>'Static part-Y'!L28</f>
        <v>D</v>
      </c>
    </row>
    <row r="37" spans="1:12" s="12" customFormat="1" ht="12.75" customHeight="1">
      <c r="A37" s="38">
        <f>'Static part-Y'!A29</f>
        <v>13</v>
      </c>
      <c r="B37" s="39">
        <f>'Static part-Y'!B29</f>
        <v>3</v>
      </c>
      <c r="C37" s="58">
        <f>+'Static part-Y'!C29</f>
        <v>39.4</v>
      </c>
      <c r="D37" s="205">
        <v>612</v>
      </c>
      <c r="E37" s="250">
        <v>-0.0058</v>
      </c>
      <c r="F37" s="58">
        <f>'Static part-X'!H29</f>
        <v>42</v>
      </c>
      <c r="G37" s="112">
        <f>+'Static part-X'!G29</f>
        <v>0.1654340548572955</v>
      </c>
      <c r="H37" s="112">
        <f t="shared" si="0"/>
        <v>0.4295775821701121</v>
      </c>
      <c r="I37" s="112">
        <f t="shared" si="1"/>
        <v>0.05308687068676343</v>
      </c>
      <c r="J37" s="41">
        <f t="shared" si="2"/>
        <v>0.11861308377023366</v>
      </c>
      <c r="K37" s="167">
        <f t="shared" si="3"/>
        <v>4.9817495183498135</v>
      </c>
      <c r="L37" s="119" t="str">
        <f>'Static part-Y'!L29</f>
        <v>D</v>
      </c>
    </row>
    <row r="38" spans="1:12" s="12" customFormat="1" ht="12.75" customHeight="1">
      <c r="A38" s="38">
        <f>'Static part-Y'!A30</f>
        <v>14</v>
      </c>
      <c r="B38" s="39">
        <f>'Static part-Y'!B30</f>
        <v>3</v>
      </c>
      <c r="C38" s="58">
        <f>+'Static part-Y'!C30</f>
        <v>42.4</v>
      </c>
      <c r="D38" s="205">
        <v>506</v>
      </c>
      <c r="E38" s="250">
        <v>-0.0057</v>
      </c>
      <c r="F38" s="58">
        <f>'Static part-X'!H30</f>
        <v>39.199999999999996</v>
      </c>
      <c r="G38" s="112">
        <f>+'Static part-X'!G30</f>
        <v>0.16714241137818467</v>
      </c>
      <c r="H38" s="112">
        <f t="shared" si="0"/>
        <v>0.4267498156414775</v>
      </c>
      <c r="I38" s="112">
        <f t="shared" si="1"/>
        <v>0.05328201095140969</v>
      </c>
      <c r="J38" s="41">
        <f t="shared" si="2"/>
        <v>0.09637814294853167</v>
      </c>
      <c r="K38" s="167">
        <f t="shared" si="3"/>
        <v>3.7780232035824413</v>
      </c>
      <c r="L38" s="119" t="str">
        <f>'Static part-Y'!L30</f>
        <v>D</v>
      </c>
    </row>
    <row r="39" spans="1:12" s="12" customFormat="1" ht="11.25" customHeight="1">
      <c r="A39" s="38">
        <f>'Static part-Y'!A31</f>
        <v>15</v>
      </c>
      <c r="B39" s="39">
        <f>'Static part-Y'!B31</f>
        <v>2.6</v>
      </c>
      <c r="C39" s="58">
        <f>+'Static part-Y'!C31</f>
        <v>45</v>
      </c>
      <c r="D39" s="205">
        <v>197</v>
      </c>
      <c r="E39" s="250">
        <v>-0.0015</v>
      </c>
      <c r="F39" s="58">
        <f>'Static part-X'!H31</f>
        <v>18.2</v>
      </c>
      <c r="G39" s="112">
        <f>+'Static part-X'!G31</f>
        <v>0.1685408560632055</v>
      </c>
      <c r="H39" s="112">
        <f t="shared" si="0"/>
        <v>0.4244701385108057</v>
      </c>
      <c r="I39" s="112">
        <f t="shared" si="1"/>
        <v>0.053440798706855315</v>
      </c>
      <c r="J39" s="41">
        <f t="shared" si="2"/>
        <v>0.009874398877085884</v>
      </c>
      <c r="K39" s="167">
        <f t="shared" si="3"/>
        <v>0.17971405956296307</v>
      </c>
      <c r="L39" s="119" t="str">
        <f>'Static part-Y'!L31</f>
        <v>D</v>
      </c>
    </row>
    <row r="40" spans="1:13" s="12" customFormat="1" ht="6.75" customHeight="1">
      <c r="A40" s="53"/>
      <c r="B40" s="11"/>
      <c r="C40" s="55"/>
      <c r="D40" s="56"/>
      <c r="E40" s="57"/>
      <c r="F40" s="56"/>
      <c r="G40" s="57"/>
      <c r="H40" s="11"/>
      <c r="I40" s="57"/>
      <c r="J40" s="11"/>
      <c r="K40" s="57"/>
      <c r="L40" s="20"/>
      <c r="M40" s="16"/>
    </row>
    <row r="41" spans="1:13" s="12" customFormat="1" ht="12.75" customHeight="1">
      <c r="A41" s="22" t="s">
        <v>67</v>
      </c>
      <c r="B41" s="43"/>
      <c r="C41" s="43"/>
      <c r="D41" s="11"/>
      <c r="E41" s="11"/>
      <c r="F41" s="27"/>
      <c r="G41" s="44"/>
      <c r="H41" s="44"/>
      <c r="I41" s="44"/>
      <c r="J41" s="44"/>
      <c r="K41" s="184"/>
      <c r="L41" s="20"/>
      <c r="M41" s="16"/>
    </row>
    <row r="42" spans="1:12" s="12" customFormat="1" ht="12.75" customHeight="1">
      <c r="A42" s="100" t="s">
        <v>68</v>
      </c>
      <c r="B42" s="45"/>
      <c r="C42" s="23"/>
      <c r="D42" s="23"/>
      <c r="E42" s="23"/>
      <c r="F42" s="23"/>
      <c r="G42" s="101" t="s">
        <v>69</v>
      </c>
      <c r="H42" s="45"/>
      <c r="I42" s="23"/>
      <c r="J42" s="11"/>
      <c r="K42" s="184"/>
      <c r="L42" s="20"/>
    </row>
    <row r="43" spans="1:12" s="12" customFormat="1" ht="12.75" customHeight="1">
      <c r="A43" s="47"/>
      <c r="B43" s="114" t="s">
        <v>45</v>
      </c>
      <c r="C43" s="24">
        <f>+SUMPRODUCT(C25:C39,K25:K39)</f>
        <v>1196.9929129180496</v>
      </c>
      <c r="D43" s="114" t="s">
        <v>7</v>
      </c>
      <c r="E43" s="11"/>
      <c r="F43" s="11"/>
      <c r="G43" s="46"/>
      <c r="H43" s="114" t="s">
        <v>46</v>
      </c>
      <c r="I43" s="48">
        <f>SUM(K25:K39)</f>
        <v>41.563237550312344</v>
      </c>
      <c r="J43" s="132" t="s">
        <v>8</v>
      </c>
      <c r="K43" s="184"/>
      <c r="L43" s="20"/>
    </row>
    <row r="44" spans="1:12" s="12" customFormat="1" ht="12.75" customHeight="1" thickBot="1">
      <c r="A44" s="49" t="s">
        <v>64</v>
      </c>
      <c r="B44" s="50"/>
      <c r="C44" s="50"/>
      <c r="D44" s="51"/>
      <c r="E44" s="51"/>
      <c r="F44" s="51"/>
      <c r="G44" s="50"/>
      <c r="H44" s="50" t="s">
        <v>64</v>
      </c>
      <c r="I44" s="50"/>
      <c r="J44" s="50"/>
      <c r="K44" s="187"/>
      <c r="L44" s="52"/>
    </row>
  </sheetData>
  <sheetProtection formatCells="0" formatColumns="0" formatRows="0" insertColumns="0" insertRows="0" insertHyperlinks="0" deleteColumns="0" deleteRows="0" sort="0" autoFilter="0" pivotTables="0"/>
  <mergeCells count="10">
    <mergeCell ref="A1:H1"/>
    <mergeCell ref="I3:J3"/>
    <mergeCell ref="J2:K2"/>
    <mergeCell ref="C20:D20"/>
    <mergeCell ref="G11:H11"/>
    <mergeCell ref="C16:D16"/>
    <mergeCell ref="C17:D17"/>
    <mergeCell ref="C18:D18"/>
    <mergeCell ref="C19:D19"/>
    <mergeCell ref="A2:B2"/>
  </mergeCells>
  <dataValidations count="1">
    <dataValidation type="list" allowBlank="1" showInputMessage="1" showErrorMessage="1" sqref="D12:D13">
      <formula1>$Q$2:$Q$5</formula1>
    </dataValidation>
  </dataValidations>
  <printOptions verticalCentered="1"/>
  <pageMargins left="0.77" right="0.26" top="0.31" bottom="0.3" header="0.34" footer="0.3"/>
  <pageSetup blackAndWhite="1" horizontalDpi="600" verticalDpi="600" orientation="portrait" paperSize="9" scale="96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125" zoomScaleNormal="110" zoomScaleSheetLayoutView="125" zoomScalePageLayoutView="0" workbookViewId="0" topLeftCell="A1">
      <selection activeCell="E29" sqref="E29"/>
    </sheetView>
  </sheetViews>
  <sheetFormatPr defaultColWidth="9.140625" defaultRowHeight="12.75"/>
  <cols>
    <col min="1" max="4" width="8.7109375" style="1" customWidth="1"/>
    <col min="5" max="5" width="8.7109375" style="164" customWidth="1"/>
    <col min="6" max="10" width="8.7109375" style="1" customWidth="1"/>
    <col min="11" max="11" width="8.7109375" style="188" customWidth="1"/>
    <col min="12" max="12" width="8.7109375" style="1" customWidth="1"/>
    <col min="13" max="16384" width="9.140625" style="1" customWidth="1"/>
  </cols>
  <sheetData>
    <row r="1" spans="1:24" ht="34.5" customHeight="1">
      <c r="A1" s="251" t="s">
        <v>123</v>
      </c>
      <c r="B1" s="252"/>
      <c r="C1" s="252"/>
      <c r="D1" s="252"/>
      <c r="E1" s="252"/>
      <c r="F1" s="252"/>
      <c r="G1" s="252"/>
      <c r="H1" s="252"/>
      <c r="I1" s="252"/>
      <c r="J1" s="200"/>
      <c r="K1" s="200"/>
      <c r="L1" s="201"/>
      <c r="U1" s="8"/>
      <c r="V1" s="8"/>
      <c r="W1" s="8"/>
      <c r="X1" s="8"/>
    </row>
    <row r="2" spans="1:26" s="12" customFormat="1" ht="12.75" customHeight="1">
      <c r="A2" s="261" t="s">
        <v>51</v>
      </c>
      <c r="B2" s="262"/>
      <c r="C2" s="11"/>
      <c r="D2" s="101" t="s">
        <v>52</v>
      </c>
      <c r="E2" s="158"/>
      <c r="F2" s="10"/>
      <c r="G2" s="10"/>
      <c r="H2" s="10"/>
      <c r="I2" s="11"/>
      <c r="J2" s="272">
        <f ca="1">TODAY()</f>
        <v>42500</v>
      </c>
      <c r="K2" s="272"/>
      <c r="L2" s="152"/>
      <c r="Q2" s="12">
        <v>6</v>
      </c>
      <c r="R2" s="12" t="s">
        <v>0</v>
      </c>
      <c r="S2" s="13" t="s">
        <v>5</v>
      </c>
      <c r="T2" s="14">
        <f>+SUMPRODUCT(C25:C39,G25:G39)</f>
        <v>57.11242184882854</v>
      </c>
      <c r="U2" s="15"/>
      <c r="V2" s="14">
        <f>+SUMPRODUCT(C25:C39,I25:I39)</f>
        <v>18.81137197981949</v>
      </c>
      <c r="W2" s="16"/>
      <c r="X2" s="14">
        <f>+SUMPRODUCT(C25:C39,E25:E39)</f>
        <v>-4.640879999999999</v>
      </c>
      <c r="Y2" s="16"/>
      <c r="Z2" s="16"/>
    </row>
    <row r="3" spans="1:26" s="12" customFormat="1" ht="12.75" customHeight="1">
      <c r="A3" s="203" t="str">
        <f>IF($K$3="Vietnam","Tên công trình:","Project:")</f>
        <v>Project:</v>
      </c>
      <c r="B3" s="11"/>
      <c r="C3" s="11"/>
      <c r="D3" s="23">
        <f>'Static part-Y'!C3</f>
        <v>0</v>
      </c>
      <c r="E3" s="158"/>
      <c r="F3" s="10"/>
      <c r="G3" s="10"/>
      <c r="H3" s="11"/>
      <c r="I3" s="271" t="str">
        <f>IF($K$3="Vietnam","Ngôn ngữ:","Language:")</f>
        <v>Language:</v>
      </c>
      <c r="J3" s="271"/>
      <c r="K3" s="57" t="s">
        <v>50</v>
      </c>
      <c r="L3" s="152"/>
      <c r="Q3" s="12">
        <v>7</v>
      </c>
      <c r="R3" s="12" t="s">
        <v>1</v>
      </c>
      <c r="S3" s="13" t="s">
        <v>6</v>
      </c>
      <c r="T3" s="14">
        <f>+SUMPRODUCT(C25:C39,G25:G39,G25:G39)</f>
        <v>9.10205730908234</v>
      </c>
      <c r="U3" s="15"/>
      <c r="V3" s="14">
        <f>+SUMPRODUCT(C25:C39,I25:I39,I25:I39)</f>
        <v>0.984060994014715</v>
      </c>
      <c r="W3" s="16"/>
      <c r="X3" s="14">
        <f>+SUMPRODUCT(C25:C39,E25:E39,E25:E39)</f>
        <v>0.068357588</v>
      </c>
      <c r="Y3" s="16"/>
      <c r="Z3" s="16"/>
    </row>
    <row r="4" spans="1:24" s="12" customFormat="1" ht="12.75" customHeight="1">
      <c r="A4" s="203" t="str">
        <f>IF($K$3="Vietnam","Người thực hiện:","Computed by")</f>
        <v>Computed by</v>
      </c>
      <c r="B4" s="11"/>
      <c r="C4" s="11"/>
      <c r="D4" s="101">
        <f>'Static part-Y'!C4</f>
        <v>0</v>
      </c>
      <c r="E4" s="158"/>
      <c r="F4" s="10"/>
      <c r="G4" s="17"/>
      <c r="H4" s="11"/>
      <c r="I4" s="11"/>
      <c r="J4" s="11"/>
      <c r="K4" s="184"/>
      <c r="L4" s="152"/>
      <c r="Q4" s="12">
        <v>8</v>
      </c>
      <c r="R4" s="12" t="s">
        <v>2</v>
      </c>
      <c r="U4" s="18"/>
      <c r="V4" s="18"/>
      <c r="W4" s="18"/>
      <c r="X4" s="18"/>
    </row>
    <row r="5" spans="1:24" s="12" customFormat="1" ht="10.5" customHeight="1">
      <c r="A5" s="54" t="s">
        <v>53</v>
      </c>
      <c r="B5" s="23"/>
      <c r="C5" s="11"/>
      <c r="D5" s="204" t="s">
        <v>4</v>
      </c>
      <c r="E5" s="158"/>
      <c r="F5" s="10"/>
      <c r="G5" s="17"/>
      <c r="H5" s="9"/>
      <c r="I5" s="10"/>
      <c r="J5" s="10"/>
      <c r="K5" s="184"/>
      <c r="L5" s="152"/>
      <c r="Q5" s="12">
        <v>9</v>
      </c>
      <c r="U5" s="19"/>
      <c r="V5" s="19"/>
      <c r="W5" s="19"/>
      <c r="X5" s="19"/>
    </row>
    <row r="6" spans="1:24" s="12" customFormat="1" ht="6.75" customHeight="1" hidden="1">
      <c r="A6" s="21"/>
      <c r="B6" s="10"/>
      <c r="C6" s="11"/>
      <c r="D6" s="10"/>
      <c r="E6" s="157"/>
      <c r="F6" s="10"/>
      <c r="G6" s="17"/>
      <c r="H6" s="9"/>
      <c r="I6" s="10"/>
      <c r="J6" s="10"/>
      <c r="K6" s="184"/>
      <c r="L6" s="152"/>
      <c r="U6" s="19"/>
      <c r="V6" s="19"/>
      <c r="W6" s="19"/>
      <c r="X6" s="19"/>
    </row>
    <row r="7" spans="1:12" s="12" customFormat="1" ht="12.75" customHeight="1">
      <c r="A7" s="22" t="str">
        <f>IF($K$3="Vietnam","1. Số liệu tính toán","1. Input data")</f>
        <v>1. Input data</v>
      </c>
      <c r="B7" s="23"/>
      <c r="C7" s="23"/>
      <c r="D7" s="23"/>
      <c r="E7" s="158"/>
      <c r="F7" s="23"/>
      <c r="G7" s="24"/>
      <c r="H7" s="11"/>
      <c r="I7" s="23"/>
      <c r="J7" s="23"/>
      <c r="K7" s="184"/>
      <c r="L7" s="152"/>
    </row>
    <row r="8" spans="1:18" s="12" customFormat="1" ht="12.75" customHeight="1">
      <c r="A8" s="25" t="s">
        <v>97</v>
      </c>
      <c r="B8" s="11"/>
      <c r="C8" s="11"/>
      <c r="D8" s="24"/>
      <c r="E8" s="158"/>
      <c r="F8" s="11"/>
      <c r="G8" s="26">
        <v>1</v>
      </c>
      <c r="H8" s="11"/>
      <c r="I8" s="27"/>
      <c r="J8" s="11"/>
      <c r="K8" s="184"/>
      <c r="L8" s="152"/>
      <c r="Q8" s="150" t="s">
        <v>90</v>
      </c>
      <c r="R8" s="109">
        <f>SUMPRODUCT(E25:E39,I25:I39)/SUMPRODUCT(E25:E39,E25:E39,D25:D39)</f>
        <v>-0.007566771054135015</v>
      </c>
    </row>
    <row r="9" spans="1:12" s="12" customFormat="1" ht="12.75" customHeight="1">
      <c r="A9" s="25" t="s">
        <v>96</v>
      </c>
      <c r="B9" s="11"/>
      <c r="C9" s="11"/>
      <c r="D9" s="24"/>
      <c r="E9" s="158"/>
      <c r="F9" s="11"/>
      <c r="G9" s="26">
        <v>1.2</v>
      </c>
      <c r="H9" s="11"/>
      <c r="I9" s="29"/>
      <c r="J9" s="11"/>
      <c r="K9" s="184"/>
      <c r="L9" s="152"/>
    </row>
    <row r="10" spans="1:12" s="12" customFormat="1" ht="12.75" customHeight="1">
      <c r="A10" s="25" t="s">
        <v>94</v>
      </c>
      <c r="B10" s="11"/>
      <c r="C10" s="11"/>
      <c r="D10" s="24"/>
      <c r="E10" s="158"/>
      <c r="F10" s="11"/>
      <c r="G10" s="138">
        <v>1.6</v>
      </c>
      <c r="H10" s="11"/>
      <c r="I10" s="29"/>
      <c r="J10" s="11"/>
      <c r="K10" s="184"/>
      <c r="L10" s="152"/>
    </row>
    <row r="11" spans="1:12" s="12" customFormat="1" ht="12.75" customHeight="1">
      <c r="A11" s="25" t="s">
        <v>95</v>
      </c>
      <c r="B11" s="11"/>
      <c r="C11" s="11"/>
      <c r="D11" s="24"/>
      <c r="E11" s="158"/>
      <c r="F11" s="11"/>
      <c r="G11" s="274">
        <f>SQRT($G$9*9.81*'Static part-Y'!$I$11*10^3)/(940*$F$18)</f>
        <v>0.052207869600828676</v>
      </c>
      <c r="H11" s="274">
        <f>SQRT($G$9*9.81*'[1]Start'!$G$4*10^3)/(940*$F$17)</f>
        <v>0.07720026828788318</v>
      </c>
      <c r="I11" s="24"/>
      <c r="J11" s="11"/>
      <c r="K11" s="184"/>
      <c r="L11" s="152"/>
    </row>
    <row r="12" spans="1:12" s="12" customFormat="1" ht="12.75" customHeight="1">
      <c r="A12" s="25" t="s">
        <v>93</v>
      </c>
      <c r="B12" s="11"/>
      <c r="C12" s="11"/>
      <c r="D12" s="24"/>
      <c r="E12" s="159"/>
      <c r="F12" s="11"/>
      <c r="G12" s="108">
        <f>+'Bảng tra K'!C45</f>
        <v>0.747</v>
      </c>
      <c r="H12" s="11"/>
      <c r="I12" s="24"/>
      <c r="J12" s="23"/>
      <c r="K12" s="184"/>
      <c r="L12" s="152"/>
    </row>
    <row r="13" spans="1:12" s="12" customFormat="1" ht="4.5" customHeight="1" hidden="1">
      <c r="A13" s="25"/>
      <c r="B13" s="11"/>
      <c r="C13" s="11"/>
      <c r="D13" s="24"/>
      <c r="E13" s="159"/>
      <c r="F13" s="11"/>
      <c r="G13" s="26"/>
      <c r="H13" s="11"/>
      <c r="I13" s="24"/>
      <c r="J13" s="23"/>
      <c r="K13" s="184"/>
      <c r="L13" s="152"/>
    </row>
    <row r="14" spans="1:12" s="12" customFormat="1" ht="12.75" customHeight="1">
      <c r="A14" s="22" t="s">
        <v>66</v>
      </c>
      <c r="B14" s="24"/>
      <c r="C14" s="11"/>
      <c r="D14" s="11"/>
      <c r="E14" s="160"/>
      <c r="F14" s="30"/>
      <c r="G14" s="24"/>
      <c r="H14" s="23"/>
      <c r="I14" s="11"/>
      <c r="J14" s="11"/>
      <c r="K14" s="184"/>
      <c r="L14" s="152"/>
    </row>
    <row r="15" spans="1:12" s="12" customFormat="1" ht="6.75" customHeight="1">
      <c r="A15" s="22"/>
      <c r="B15" s="24"/>
      <c r="C15" s="11"/>
      <c r="D15" s="11"/>
      <c r="E15" s="160"/>
      <c r="F15" s="30"/>
      <c r="G15" s="24"/>
      <c r="H15" s="23"/>
      <c r="I15" s="11"/>
      <c r="J15" s="11"/>
      <c r="K15" s="184"/>
      <c r="L15" s="152"/>
    </row>
    <row r="16" spans="1:12" s="12" customFormat="1" ht="12.75" customHeight="1">
      <c r="A16" s="31"/>
      <c r="B16" s="11"/>
      <c r="C16" s="273" t="s">
        <v>85</v>
      </c>
      <c r="D16" s="273"/>
      <c r="E16" s="32" t="s">
        <v>87</v>
      </c>
      <c r="F16" s="33" t="s">
        <v>88</v>
      </c>
      <c r="G16" s="59"/>
      <c r="H16" s="11"/>
      <c r="I16" s="34"/>
      <c r="J16" s="11"/>
      <c r="K16" s="184"/>
      <c r="L16" s="152"/>
    </row>
    <row r="17" spans="1:12" s="12" customFormat="1" ht="12.75" customHeight="1">
      <c r="A17" s="31"/>
      <c r="B17" s="11"/>
      <c r="C17" s="273" t="str">
        <f>'Dynamic- X1'!C17:D17</f>
        <v>Mode 1</v>
      </c>
      <c r="D17" s="273"/>
      <c r="E17" s="35">
        <f>'Dynamic- X1'!E17</f>
        <v>2.17</v>
      </c>
      <c r="F17" s="58">
        <f>1/E17</f>
        <v>0.4608294930875576</v>
      </c>
      <c r="G17" s="11"/>
      <c r="H17" s="11"/>
      <c r="I17" s="110"/>
      <c r="J17" s="110"/>
      <c r="K17" s="185"/>
      <c r="L17" s="152"/>
    </row>
    <row r="18" spans="1:12" s="12" customFormat="1" ht="12.75" customHeight="1">
      <c r="A18" s="31"/>
      <c r="B18" s="11"/>
      <c r="C18" s="275" t="str">
        <f>'Dynamic- X1'!C18:D18</f>
        <v>Mode 2</v>
      </c>
      <c r="D18" s="275"/>
      <c r="E18" s="140">
        <f>'Dynamic- X1'!E18</f>
        <v>1.57</v>
      </c>
      <c r="F18" s="166">
        <f>1/E18</f>
        <v>0.6369426751592356</v>
      </c>
      <c r="G18" s="24" t="s">
        <v>40</v>
      </c>
      <c r="H18" s="111" t="str">
        <f>'Dynamic- X1'!H18</f>
        <v>Tính đến cả ba dạng dao động</v>
      </c>
      <c r="I18" s="110"/>
      <c r="J18" s="110"/>
      <c r="K18" s="185"/>
      <c r="L18" s="152"/>
    </row>
    <row r="19" spans="1:12" s="12" customFormat="1" ht="12.75" customHeight="1">
      <c r="A19" s="31"/>
      <c r="B19" s="11"/>
      <c r="C19" s="273" t="str">
        <f>'Dynamic- X1'!C19:D19</f>
        <v>Mode 3</v>
      </c>
      <c r="D19" s="273"/>
      <c r="E19" s="35">
        <f>'Dynamic- X1'!E19</f>
        <v>0.89</v>
      </c>
      <c r="F19" s="58">
        <f>1/E19</f>
        <v>1.1235955056179776</v>
      </c>
      <c r="G19" s="11"/>
      <c r="H19" s="11"/>
      <c r="I19" s="34"/>
      <c r="J19" s="11"/>
      <c r="K19" s="184"/>
      <c r="L19" s="152"/>
    </row>
    <row r="20" spans="1:12" s="12" customFormat="1" ht="12.75" customHeight="1">
      <c r="A20" s="31"/>
      <c r="B20" s="11"/>
      <c r="C20" s="273" t="str">
        <f>'Dynamic- X1'!C20:D20</f>
        <v>Limiting frequency</v>
      </c>
      <c r="D20" s="276"/>
      <c r="E20" s="167" t="s">
        <v>10</v>
      </c>
      <c r="F20" s="58">
        <v>1.3</v>
      </c>
      <c r="G20" s="11"/>
      <c r="H20" s="48"/>
      <c r="I20" s="34"/>
      <c r="J20" s="11"/>
      <c r="K20" s="184"/>
      <c r="L20" s="152"/>
    </row>
    <row r="21" spans="1:12" s="12" customFormat="1" ht="5.25" customHeight="1">
      <c r="A21" s="31"/>
      <c r="B21" s="11"/>
      <c r="C21" s="24"/>
      <c r="D21" s="24"/>
      <c r="E21" s="161"/>
      <c r="F21" s="48"/>
      <c r="G21" s="11"/>
      <c r="H21" s="48"/>
      <c r="I21" s="34"/>
      <c r="J21" s="11"/>
      <c r="K21" s="184"/>
      <c r="L21" s="152"/>
    </row>
    <row r="22" spans="1:12" s="12" customFormat="1" ht="12.75" customHeight="1">
      <c r="A22" s="22" t="s">
        <v>111</v>
      </c>
      <c r="B22" s="23"/>
      <c r="C22" s="23"/>
      <c r="D22" s="23"/>
      <c r="E22" s="159"/>
      <c r="F22" s="36"/>
      <c r="G22" s="37"/>
      <c r="H22" s="11"/>
      <c r="I22" s="11"/>
      <c r="J22" s="11"/>
      <c r="K22" s="184"/>
      <c r="L22" s="152"/>
    </row>
    <row r="23" spans="1:12" s="12" customFormat="1" ht="5.25" customHeight="1">
      <c r="A23" s="22"/>
      <c r="B23" s="23"/>
      <c r="C23" s="23"/>
      <c r="D23" s="23"/>
      <c r="E23" s="159"/>
      <c r="F23" s="36"/>
      <c r="G23" s="37"/>
      <c r="H23" s="11"/>
      <c r="I23" s="11"/>
      <c r="J23" s="11"/>
      <c r="K23" s="184"/>
      <c r="L23" s="152"/>
    </row>
    <row r="24" spans="1:12" s="12" customFormat="1" ht="62.25" customHeight="1">
      <c r="A24" s="106" t="s">
        <v>70</v>
      </c>
      <c r="B24" s="33" t="s">
        <v>84</v>
      </c>
      <c r="C24" s="33" t="s">
        <v>71</v>
      </c>
      <c r="D24" s="107" t="s">
        <v>72</v>
      </c>
      <c r="E24" s="162" t="s">
        <v>114</v>
      </c>
      <c r="F24" s="107" t="s">
        <v>89</v>
      </c>
      <c r="G24" s="107" t="s">
        <v>92</v>
      </c>
      <c r="H24" s="107" t="s">
        <v>91</v>
      </c>
      <c r="I24" s="107" t="s">
        <v>100</v>
      </c>
      <c r="J24" s="107" t="s">
        <v>98</v>
      </c>
      <c r="K24" s="186" t="s">
        <v>99</v>
      </c>
      <c r="L24" s="119" t="s">
        <v>83</v>
      </c>
    </row>
    <row r="25" spans="1:12" s="12" customFormat="1" ht="12.75" customHeight="1">
      <c r="A25" s="38">
        <f>+'Static part-Y'!A17</f>
        <v>1</v>
      </c>
      <c r="B25" s="32">
        <f>'Dynamic- X1'!B25</f>
        <v>1.2</v>
      </c>
      <c r="C25" s="40">
        <f>'Dynamic- X1'!C25</f>
        <v>1.2</v>
      </c>
      <c r="D25" s="206">
        <f>'Dynamic- X1'!D25</f>
        <v>750</v>
      </c>
      <c r="E25" s="249">
        <v>0</v>
      </c>
      <c r="F25" s="133">
        <f>'Dynamic- X1'!F25</f>
        <v>43.39999999999999</v>
      </c>
      <c r="G25" s="112">
        <f>+'Static part-X'!G17</f>
        <v>0.10147073776179422</v>
      </c>
      <c r="H25" s="112">
        <f>IF(C25&gt;0,0.486*(C25/10)^-0.09,"---")</f>
        <v>0.5881795992477002</v>
      </c>
      <c r="I25" s="112">
        <f>IF(G25="---","---",G25*H25*$G$12)</f>
        <v>0.04458321435045915</v>
      </c>
      <c r="J25" s="41">
        <f>IF(G25="---","---",D25*$G$10*$R$8*E25)</f>
        <v>0</v>
      </c>
      <c r="K25" s="167">
        <f>IF(G25="---","---",F25*J25)</f>
        <v>0</v>
      </c>
      <c r="L25" s="42" t="str">
        <f>'Static part-Y'!L17</f>
        <v>D</v>
      </c>
    </row>
    <row r="26" spans="1:12" s="12" customFormat="1" ht="12.75" customHeight="1">
      <c r="A26" s="38">
        <f>+'Static part-Y'!A18</f>
        <v>2</v>
      </c>
      <c r="B26" s="32">
        <f>'Dynamic- X1'!B26</f>
        <v>3.8</v>
      </c>
      <c r="C26" s="40">
        <f>'Dynamic- X1'!C26</f>
        <v>5</v>
      </c>
      <c r="D26" s="206">
        <f>'Dynamic- X1'!D26</f>
        <v>515</v>
      </c>
      <c r="E26" s="249">
        <v>-0.0011</v>
      </c>
      <c r="F26" s="133">
        <f>'Dynamic- X1'!F26</f>
        <v>49</v>
      </c>
      <c r="G26" s="112">
        <f>+'Static part-X'!G18</f>
        <v>0.12391139438738087</v>
      </c>
      <c r="H26" s="112">
        <f aca="true" t="shared" si="0" ref="H26:H39">IF(C26&gt;0,0.486*(C26/10)^-0.09,"---")</f>
        <v>0.5172839086723329</v>
      </c>
      <c r="I26" s="112">
        <f aca="true" t="shared" si="1" ref="I26:I39">IF(G26="---","---",G26*H26*$G$12)</f>
        <v>0.047880735702054276</v>
      </c>
      <c r="J26" s="41">
        <f aca="true" t="shared" si="2" ref="J26:J39">IF(G26="---","---",D26*$G$10*$R$8*E26)</f>
        <v>0.0068585212834679785</v>
      </c>
      <c r="K26" s="167">
        <f aca="true" t="shared" si="3" ref="K26:K39">IF(G26="---","---",F26*J26)</f>
        <v>0.33606754288993096</v>
      </c>
      <c r="L26" s="42" t="str">
        <f>'Static part-Y'!L18</f>
        <v>D</v>
      </c>
    </row>
    <row r="27" spans="1:12" s="12" customFormat="1" ht="12.75" customHeight="1">
      <c r="A27" s="38">
        <f>+'Static part-Y'!A19</f>
        <v>3</v>
      </c>
      <c r="B27" s="32">
        <f>'Dynamic- X1'!B27</f>
        <v>3.2</v>
      </c>
      <c r="C27" s="40">
        <f>'Dynamic- X1'!C27</f>
        <v>8.2</v>
      </c>
      <c r="D27" s="206">
        <f>'Dynamic- X1'!D27</f>
        <v>737</v>
      </c>
      <c r="E27" s="249">
        <v>-0.0022</v>
      </c>
      <c r="F27" s="133">
        <f>'Dynamic- X1'!F27</f>
        <v>44.800000000000004</v>
      </c>
      <c r="G27" s="112">
        <f>+'Static part-X'!G19</f>
        <v>0.13279734211520688</v>
      </c>
      <c r="H27" s="112">
        <f t="shared" si="0"/>
        <v>0.494758224744355</v>
      </c>
      <c r="I27" s="112">
        <f t="shared" si="1"/>
        <v>0.04907982519505932</v>
      </c>
      <c r="J27" s="41">
        <f t="shared" si="2"/>
        <v>0.019630020139479225</v>
      </c>
      <c r="K27" s="167">
        <f t="shared" si="3"/>
        <v>0.8794249022486693</v>
      </c>
      <c r="L27" s="42" t="str">
        <f>'Static part-Y'!L19</f>
        <v>D</v>
      </c>
    </row>
    <row r="28" spans="1:12" s="12" customFormat="1" ht="12.75" customHeight="1">
      <c r="A28" s="38">
        <f>+'Static part-Y'!A20</f>
        <v>4</v>
      </c>
      <c r="B28" s="32">
        <f>'Dynamic- X1'!B28</f>
        <v>3.2</v>
      </c>
      <c r="C28" s="40">
        <f>'Dynamic- X1'!C28</f>
        <v>11.399999999999999</v>
      </c>
      <c r="D28" s="206">
        <f>'Dynamic- X1'!D28</f>
        <v>780</v>
      </c>
      <c r="E28" s="249">
        <v>-0.0035</v>
      </c>
      <c r="F28" s="133">
        <f>'Dynamic- X1'!F28</f>
        <v>50.4</v>
      </c>
      <c r="G28" s="112">
        <f>+'Static part-X'!G20</f>
        <v>0.139066371337922</v>
      </c>
      <c r="H28" s="112">
        <f t="shared" si="0"/>
        <v>0.4803024839322135</v>
      </c>
      <c r="I28" s="112">
        <f t="shared" si="1"/>
        <v>0.0498950609180275</v>
      </c>
      <c r="J28" s="41">
        <f t="shared" si="2"/>
        <v>0.033051655964461746</v>
      </c>
      <c r="K28" s="167">
        <f t="shared" si="3"/>
        <v>1.6658034606088719</v>
      </c>
      <c r="L28" s="42" t="str">
        <f>'Static part-Y'!L20</f>
        <v>D</v>
      </c>
    </row>
    <row r="29" spans="1:12" s="12" customFormat="1" ht="12.75" customHeight="1">
      <c r="A29" s="38">
        <f>+'Static part-Y'!A21</f>
        <v>5</v>
      </c>
      <c r="B29" s="32">
        <f>'Dynamic- X1'!B29</f>
        <v>4</v>
      </c>
      <c r="C29" s="40">
        <f>'Dynamic- X1'!C29</f>
        <v>15.399999999999999</v>
      </c>
      <c r="D29" s="206">
        <f>'Dynamic- X1'!D29</f>
        <v>688</v>
      </c>
      <c r="E29" s="249">
        <v>-0.0054</v>
      </c>
      <c r="F29" s="133">
        <f>'Dynamic- X1'!F29</f>
        <v>49</v>
      </c>
      <c r="G29" s="112">
        <f>+'Static part-X'!G21</f>
        <v>0.14504686431439412</v>
      </c>
      <c r="H29" s="112">
        <f t="shared" si="0"/>
        <v>0.4674760915830606</v>
      </c>
      <c r="I29" s="112">
        <f t="shared" si="1"/>
        <v>0.05065103809587538</v>
      </c>
      <c r="J29" s="41">
        <f t="shared" si="2"/>
        <v>0.04497930851251585</v>
      </c>
      <c r="K29" s="167">
        <f t="shared" si="3"/>
        <v>2.203986117113277</v>
      </c>
      <c r="L29" s="42" t="str">
        <f>'Static part-Y'!L21</f>
        <v>D</v>
      </c>
    </row>
    <row r="30" spans="1:12" s="12" customFormat="1" ht="12.75" customHeight="1">
      <c r="A30" s="38">
        <f>+'Static part-Y'!A22</f>
        <v>6</v>
      </c>
      <c r="B30" s="32">
        <f>'Dynamic- X1'!B30</f>
        <v>3</v>
      </c>
      <c r="C30" s="40">
        <f>'Dynamic- X1'!C30</f>
        <v>18.4</v>
      </c>
      <c r="D30" s="206">
        <f>'Dynamic- X1'!D30</f>
        <v>617</v>
      </c>
      <c r="E30" s="249">
        <v>-0.0068</v>
      </c>
      <c r="F30" s="133">
        <f>'Dynamic- X1'!F30</f>
        <v>42</v>
      </c>
      <c r="G30" s="112">
        <f>+'Static part-X'!G22</f>
        <v>0.14870649545176287</v>
      </c>
      <c r="H30" s="112">
        <f t="shared" si="0"/>
        <v>0.4600474896180824</v>
      </c>
      <c r="I30" s="112">
        <f t="shared" si="1"/>
        <v>0.05110380129209727</v>
      </c>
      <c r="J30" s="41">
        <f t="shared" si="2"/>
        <v>0.050795431415566195</v>
      </c>
      <c r="K30" s="167">
        <f t="shared" si="3"/>
        <v>2.1334081194537804</v>
      </c>
      <c r="L30" s="42" t="str">
        <f>'Static part-Y'!L22</f>
        <v>D</v>
      </c>
    </row>
    <row r="31" spans="1:12" s="12" customFormat="1" ht="12.75" customHeight="1">
      <c r="A31" s="38">
        <f>+'Static part-Y'!A23</f>
        <v>7</v>
      </c>
      <c r="B31" s="32">
        <f>'Dynamic- X1'!B31</f>
        <v>3</v>
      </c>
      <c r="C31" s="40">
        <f>'Dynamic- X1'!C31</f>
        <v>21.4</v>
      </c>
      <c r="D31" s="206">
        <f>'Dynamic- X1'!D31</f>
        <v>618</v>
      </c>
      <c r="E31" s="249">
        <v>-0.0083</v>
      </c>
      <c r="F31" s="133">
        <f>'Dynamic- X1'!F31</f>
        <v>42</v>
      </c>
      <c r="G31" s="112">
        <f>+'Static part-X'!G23</f>
        <v>0.15188447061893495</v>
      </c>
      <c r="H31" s="112">
        <f t="shared" si="0"/>
        <v>0.4538360907612247</v>
      </c>
      <c r="I31" s="112">
        <f t="shared" si="1"/>
        <v>0.05149119883159754</v>
      </c>
      <c r="J31" s="41">
        <f t="shared" si="2"/>
        <v>0.06210079271212824</v>
      </c>
      <c r="K31" s="167">
        <f t="shared" si="3"/>
        <v>2.608233293909386</v>
      </c>
      <c r="L31" s="42" t="str">
        <f>'Static part-Y'!L23</f>
        <v>D</v>
      </c>
    </row>
    <row r="32" spans="1:12" s="12" customFormat="1" ht="12.75" customHeight="1">
      <c r="A32" s="38">
        <f>+'Static part-Y'!A24</f>
        <v>8</v>
      </c>
      <c r="B32" s="32">
        <f>'Dynamic- X1'!B32</f>
        <v>3</v>
      </c>
      <c r="C32" s="40">
        <f>'Dynamic- X1'!C32</f>
        <v>24.4</v>
      </c>
      <c r="D32" s="206">
        <f>'Dynamic- X1'!D32</f>
        <v>618</v>
      </c>
      <c r="E32" s="249">
        <v>-0.0097</v>
      </c>
      <c r="F32" s="133">
        <f>'Dynamic- X1'!F32</f>
        <v>42</v>
      </c>
      <c r="G32" s="112">
        <f>+'Static part-X'!G24</f>
        <v>0.15469989511256305</v>
      </c>
      <c r="H32" s="112">
        <f t="shared" si="0"/>
        <v>0.44850902340135607</v>
      </c>
      <c r="I32" s="112">
        <f t="shared" si="1"/>
        <v>0.05183007126128922</v>
      </c>
      <c r="J32" s="41">
        <f t="shared" si="2"/>
        <v>0.07257562521778843</v>
      </c>
      <c r="K32" s="167">
        <f t="shared" si="3"/>
        <v>3.048176259147114</v>
      </c>
      <c r="L32" s="42" t="str">
        <f>'Static part-Y'!L24</f>
        <v>D</v>
      </c>
    </row>
    <row r="33" spans="1:12" s="12" customFormat="1" ht="12.75" customHeight="1">
      <c r="A33" s="38">
        <f>+'Static part-Y'!A25</f>
        <v>9</v>
      </c>
      <c r="B33" s="32">
        <f>'Dynamic- X1'!B33</f>
        <v>3</v>
      </c>
      <c r="C33" s="40">
        <f>'Dynamic- X1'!C33</f>
        <v>27.4</v>
      </c>
      <c r="D33" s="206">
        <f>'Dynamic- X1'!D33</f>
        <v>618</v>
      </c>
      <c r="E33" s="249">
        <v>-0.0112</v>
      </c>
      <c r="F33" s="133">
        <f>'Dynamic- X1'!F33</f>
        <v>42</v>
      </c>
      <c r="G33" s="112">
        <f>+'Static part-X'!G25</f>
        <v>0.15723184926279016</v>
      </c>
      <c r="H33" s="112">
        <f t="shared" si="0"/>
        <v>0.4438525492820627</v>
      </c>
      <c r="I33" s="112">
        <f t="shared" si="1"/>
        <v>0.05213145457134595</v>
      </c>
      <c r="J33" s="41">
        <f t="shared" si="2"/>
        <v>0.08379866004528148</v>
      </c>
      <c r="K33" s="167">
        <f t="shared" si="3"/>
        <v>3.5195437219018224</v>
      </c>
      <c r="L33" s="42" t="str">
        <f>'Static part-Y'!L25</f>
        <v>D</v>
      </c>
    </row>
    <row r="34" spans="1:12" s="12" customFormat="1" ht="12.75" customHeight="1">
      <c r="A34" s="38">
        <f>+'Static part-Y'!A26</f>
        <v>10</v>
      </c>
      <c r="B34" s="32">
        <f>'Dynamic- X1'!B34</f>
        <v>3</v>
      </c>
      <c r="C34" s="40">
        <f>'Dynamic- X1'!C34</f>
        <v>30.4</v>
      </c>
      <c r="D34" s="206">
        <f>'Dynamic- X1'!D34</f>
        <v>612</v>
      </c>
      <c r="E34" s="249">
        <v>-0.0126</v>
      </c>
      <c r="F34" s="133">
        <f>'Dynamic- X1'!F34</f>
        <v>42</v>
      </c>
      <c r="G34" s="112">
        <f>+'Static part-X'!G26</f>
        <v>0.15953564968210496</v>
      </c>
      <c r="H34" s="112">
        <f t="shared" si="0"/>
        <v>0.43972144527503815</v>
      </c>
      <c r="I34" s="112">
        <f t="shared" si="1"/>
        <v>0.05240298109897721</v>
      </c>
      <c r="J34" s="41">
        <f t="shared" si="2"/>
        <v>0.09335821592423349</v>
      </c>
      <c r="K34" s="167">
        <f t="shared" si="3"/>
        <v>3.9210450688178065</v>
      </c>
      <c r="L34" s="42" t="str">
        <f>'Static part-Y'!L26</f>
        <v>D</v>
      </c>
    </row>
    <row r="35" spans="1:12" s="12" customFormat="1" ht="12.75" customHeight="1">
      <c r="A35" s="38">
        <f>+'Static part-Y'!A27</f>
        <v>11</v>
      </c>
      <c r="B35" s="32">
        <f>'Dynamic- X1'!B35</f>
        <v>3</v>
      </c>
      <c r="C35" s="40">
        <f>'Dynamic- X1'!C35</f>
        <v>33.4</v>
      </c>
      <c r="D35" s="206">
        <f>'Dynamic- X1'!D35</f>
        <v>612</v>
      </c>
      <c r="E35" s="249">
        <v>-0.0139</v>
      </c>
      <c r="F35" s="133">
        <f>'Dynamic- X1'!F35</f>
        <v>42</v>
      </c>
      <c r="G35" s="112">
        <f>+'Static part-X'!G27</f>
        <v>0.16165157817687237</v>
      </c>
      <c r="H35" s="112">
        <f t="shared" si="0"/>
        <v>0.43601264763764325</v>
      </c>
      <c r="I35" s="112">
        <f t="shared" si="1"/>
        <v>0.05265015304898909</v>
      </c>
      <c r="J35" s="41">
        <f t="shared" si="2"/>
        <v>0.10299041280530519</v>
      </c>
      <c r="K35" s="167">
        <f t="shared" si="3"/>
        <v>4.325597337822818</v>
      </c>
      <c r="L35" s="42" t="str">
        <f>'Static part-Y'!L27</f>
        <v>D</v>
      </c>
    </row>
    <row r="36" spans="1:12" s="12" customFormat="1" ht="12.75" customHeight="1">
      <c r="A36" s="38">
        <f>+'Static part-Y'!A28</f>
        <v>12</v>
      </c>
      <c r="B36" s="32">
        <f>'Dynamic- X1'!B36</f>
        <v>3</v>
      </c>
      <c r="C36" s="40">
        <f>'Dynamic- X1'!C36</f>
        <v>36.4</v>
      </c>
      <c r="D36" s="206">
        <f>'Dynamic- X1'!D36</f>
        <v>612</v>
      </c>
      <c r="E36" s="249">
        <v>-0.0152</v>
      </c>
      <c r="F36" s="133">
        <f>'Dynamic- X1'!F36</f>
        <v>42</v>
      </c>
      <c r="G36" s="112">
        <f>+'Static part-X'!G28</f>
        <v>0.1636099218773056</v>
      </c>
      <c r="H36" s="112">
        <f t="shared" si="0"/>
        <v>0.43265043502952</v>
      </c>
      <c r="I36" s="112">
        <f t="shared" si="1"/>
        <v>0.05287707019489546</v>
      </c>
      <c r="J36" s="41">
        <f t="shared" si="2"/>
        <v>0.11262260968637691</v>
      </c>
      <c r="K36" s="167">
        <f t="shared" si="3"/>
        <v>4.730149606827831</v>
      </c>
      <c r="L36" s="42" t="str">
        <f>'Static part-Y'!L28</f>
        <v>D</v>
      </c>
    </row>
    <row r="37" spans="1:12" s="12" customFormat="1" ht="12.75" customHeight="1">
      <c r="A37" s="38">
        <f>+'Static part-Y'!A29</f>
        <v>13</v>
      </c>
      <c r="B37" s="32">
        <f>'Dynamic- X1'!B37</f>
        <v>3</v>
      </c>
      <c r="C37" s="40">
        <f>'Dynamic- X1'!C37</f>
        <v>39.4</v>
      </c>
      <c r="D37" s="206">
        <f>'Dynamic- X1'!D37</f>
        <v>612</v>
      </c>
      <c r="E37" s="249">
        <v>-0.0164</v>
      </c>
      <c r="F37" s="133">
        <f>'Dynamic- X1'!F37</f>
        <v>42</v>
      </c>
      <c r="G37" s="112">
        <f>+'Static part-X'!G29</f>
        <v>0.1654340548572955</v>
      </c>
      <c r="H37" s="112">
        <f t="shared" si="0"/>
        <v>0.4295775821701121</v>
      </c>
      <c r="I37" s="112">
        <f t="shared" si="1"/>
        <v>0.05308687068676343</v>
      </c>
      <c r="J37" s="41">
        <f t="shared" si="2"/>
        <v>0.12151386834582772</v>
      </c>
      <c r="K37" s="167">
        <f t="shared" si="3"/>
        <v>5.103582470524764</v>
      </c>
      <c r="L37" s="42" t="str">
        <f>'Static part-Y'!L29</f>
        <v>D</v>
      </c>
    </row>
    <row r="38" spans="1:12" s="12" customFormat="1" ht="12.75" customHeight="1">
      <c r="A38" s="38">
        <f>+'Static part-Y'!A30</f>
        <v>14</v>
      </c>
      <c r="B38" s="32">
        <f>'Dynamic- X1'!B38</f>
        <v>3</v>
      </c>
      <c r="C38" s="40">
        <f>'Dynamic- X1'!C38</f>
        <v>42.4</v>
      </c>
      <c r="D38" s="206">
        <f>'Dynamic- X1'!D38</f>
        <v>506</v>
      </c>
      <c r="E38" s="249">
        <v>-0.0176</v>
      </c>
      <c r="F38" s="133">
        <f>'Dynamic- X1'!F38</f>
        <v>39.199999999999996</v>
      </c>
      <c r="G38" s="112">
        <f>+'Static part-X'!G30</f>
        <v>0.16714241137818467</v>
      </c>
      <c r="H38" s="112">
        <f t="shared" si="0"/>
        <v>0.4267498156414775</v>
      </c>
      <c r="I38" s="112">
        <f t="shared" si="1"/>
        <v>0.05328201095140969</v>
      </c>
      <c r="J38" s="41">
        <f t="shared" si="2"/>
        <v>0.10781861807952768</v>
      </c>
      <c r="K38" s="167">
        <f t="shared" si="3"/>
        <v>4.226489828717485</v>
      </c>
      <c r="L38" s="42" t="str">
        <f>'Static part-Y'!L30</f>
        <v>D</v>
      </c>
    </row>
    <row r="39" spans="1:12" s="12" customFormat="1" ht="12.75">
      <c r="A39" s="38">
        <f>+'Static part-Y'!A31</f>
        <v>15</v>
      </c>
      <c r="B39" s="32">
        <f>'Dynamic- X1'!B39</f>
        <v>2.6</v>
      </c>
      <c r="C39" s="40">
        <f>'Dynamic- X1'!C39</f>
        <v>45</v>
      </c>
      <c r="D39" s="206">
        <f>'Dynamic- X1'!D39</f>
        <v>197</v>
      </c>
      <c r="E39" s="249">
        <v>-0.019</v>
      </c>
      <c r="F39" s="133">
        <f>'Dynamic- X1'!F39</f>
        <v>18.2</v>
      </c>
      <c r="G39" s="112">
        <f>+'Static part-X'!G31</f>
        <v>0.1685408560632055</v>
      </c>
      <c r="H39" s="112">
        <f t="shared" si="0"/>
        <v>0.4244701385108057</v>
      </c>
      <c r="I39" s="112">
        <f t="shared" si="1"/>
        <v>0.053440798706855315</v>
      </c>
      <c r="J39" s="41">
        <f t="shared" si="2"/>
        <v>0.04531587848900378</v>
      </c>
      <c r="K39" s="167">
        <f t="shared" si="3"/>
        <v>0.8247489884998688</v>
      </c>
      <c r="L39" s="42" t="str">
        <f>'Static part-Y'!L31</f>
        <v>D</v>
      </c>
    </row>
    <row r="40" spans="1:13" s="12" customFormat="1" ht="12.75">
      <c r="A40" s="53"/>
      <c r="B40" s="11"/>
      <c r="C40" s="55"/>
      <c r="D40" s="207"/>
      <c r="E40" s="161"/>
      <c r="F40" s="56"/>
      <c r="G40" s="57"/>
      <c r="H40" s="11"/>
      <c r="I40" s="57"/>
      <c r="J40" s="11"/>
      <c r="K40" s="57"/>
      <c r="L40" s="20"/>
      <c r="M40" s="16"/>
    </row>
    <row r="41" spans="1:13" s="12" customFormat="1" ht="12.75" customHeight="1">
      <c r="A41" s="22" t="s">
        <v>67</v>
      </c>
      <c r="B41" s="43"/>
      <c r="C41" s="43"/>
      <c r="D41" s="11"/>
      <c r="E41" s="159"/>
      <c r="F41" s="27"/>
      <c r="G41" s="44"/>
      <c r="H41" s="44"/>
      <c r="I41" s="44"/>
      <c r="J41" s="44"/>
      <c r="K41" s="184"/>
      <c r="L41" s="20"/>
      <c r="M41" s="16"/>
    </row>
    <row r="42" spans="1:12" s="12" customFormat="1" ht="12.75" customHeight="1">
      <c r="A42" s="100" t="s">
        <v>68</v>
      </c>
      <c r="B42" s="45"/>
      <c r="C42" s="23"/>
      <c r="D42" s="23"/>
      <c r="E42" s="158"/>
      <c r="F42" s="23"/>
      <c r="G42" s="101" t="s">
        <v>69</v>
      </c>
      <c r="H42" s="45"/>
      <c r="I42" s="23"/>
      <c r="J42" s="11"/>
      <c r="K42" s="184"/>
      <c r="L42" s="20"/>
    </row>
    <row r="43" spans="1:12" s="12" customFormat="1" ht="12.75" customHeight="1">
      <c r="A43" s="47"/>
      <c r="B43" s="114" t="s">
        <v>45</v>
      </c>
      <c r="C43" s="24">
        <f>+SUMPRODUCT(C25:C39,K25:K39)</f>
        <v>1180.9552575809519</v>
      </c>
      <c r="D43" s="114" t="s">
        <v>7</v>
      </c>
      <c r="E43" s="159"/>
      <c r="F43" s="11"/>
      <c r="G43" s="46"/>
      <c r="H43" s="114" t="s">
        <v>46</v>
      </c>
      <c r="I43" s="48">
        <f>SUM(K25:K39)</f>
        <v>39.526256718483424</v>
      </c>
      <c r="J43" s="132" t="s">
        <v>8</v>
      </c>
      <c r="K43" s="184"/>
      <c r="L43" s="20"/>
    </row>
    <row r="44" spans="1:12" s="12" customFormat="1" ht="12.75" customHeight="1" thickBot="1">
      <c r="A44" s="49" t="s">
        <v>64</v>
      </c>
      <c r="B44" s="50"/>
      <c r="C44" s="50"/>
      <c r="D44" s="51"/>
      <c r="E44" s="163"/>
      <c r="F44" s="51"/>
      <c r="G44" s="50"/>
      <c r="H44" s="50" t="s">
        <v>64</v>
      </c>
      <c r="I44" s="50"/>
      <c r="J44" s="50"/>
      <c r="K44" s="187"/>
      <c r="L44" s="52"/>
    </row>
  </sheetData>
  <sheetProtection formatCells="0" formatColumns="0" formatRows="0" insertColumns="0" insertRows="0" insertHyperlinks="0" deleteColumns="0" deleteRows="0" sort="0" autoFilter="0" pivotTables="0"/>
  <mergeCells count="10">
    <mergeCell ref="A1:I1"/>
    <mergeCell ref="I3:J3"/>
    <mergeCell ref="J2:K2"/>
    <mergeCell ref="C20:D20"/>
    <mergeCell ref="G11:H11"/>
    <mergeCell ref="C16:D16"/>
    <mergeCell ref="C17:D17"/>
    <mergeCell ref="C18:D18"/>
    <mergeCell ref="C19:D19"/>
    <mergeCell ref="A2:B2"/>
  </mergeCells>
  <dataValidations count="1">
    <dataValidation type="list" allowBlank="1" showInputMessage="1" showErrorMessage="1" sqref="D12:D13">
      <formula1>$Q$2:$Q$5</formula1>
    </dataValidation>
  </dataValidations>
  <printOptions verticalCentered="1"/>
  <pageMargins left="0.77" right="0.26" top="0.31" bottom="0.3" header="0.34" footer="0.3"/>
  <pageSetup blackAndWhite="1" horizontalDpi="600" verticalDpi="600" orientation="portrait" paperSize="9" scale="9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125" zoomScaleNormal="110" zoomScaleSheetLayoutView="125" zoomScalePageLayoutView="0" workbookViewId="0" topLeftCell="A1">
      <selection activeCell="G11" sqref="G11:H11"/>
    </sheetView>
  </sheetViews>
  <sheetFormatPr defaultColWidth="9.140625" defaultRowHeight="12.75"/>
  <cols>
    <col min="1" max="4" width="8.7109375" style="1" customWidth="1"/>
    <col min="5" max="5" width="8.7109375" style="164" customWidth="1"/>
    <col min="6" max="10" width="8.7109375" style="1" customWidth="1"/>
    <col min="11" max="11" width="8.7109375" style="188" customWidth="1"/>
    <col min="12" max="12" width="8.7109375" style="1" customWidth="1"/>
    <col min="13" max="16384" width="9.140625" style="1" customWidth="1"/>
  </cols>
  <sheetData>
    <row r="1" spans="1:24" ht="34.5" customHeight="1">
      <c r="A1" s="251" t="s">
        <v>132</v>
      </c>
      <c r="B1" s="252"/>
      <c r="C1" s="252"/>
      <c r="D1" s="252"/>
      <c r="E1" s="252"/>
      <c r="F1" s="252"/>
      <c r="G1" s="252"/>
      <c r="H1" s="252"/>
      <c r="I1" s="252"/>
      <c r="J1" s="200"/>
      <c r="K1" s="200"/>
      <c r="L1" s="201"/>
      <c r="U1" s="8"/>
      <c r="V1" s="8"/>
      <c r="W1" s="8"/>
      <c r="X1" s="8"/>
    </row>
    <row r="2" spans="1:26" s="12" customFormat="1" ht="12.75" customHeight="1">
      <c r="A2" s="261" t="s">
        <v>51</v>
      </c>
      <c r="B2" s="262"/>
      <c r="C2" s="11"/>
      <c r="D2" s="101" t="s">
        <v>52</v>
      </c>
      <c r="E2" s="158"/>
      <c r="F2" s="10"/>
      <c r="G2" s="10"/>
      <c r="H2" s="10"/>
      <c r="I2" s="11"/>
      <c r="J2" s="272">
        <f ca="1">TODAY()</f>
        <v>42500</v>
      </c>
      <c r="K2" s="272"/>
      <c r="L2" s="152"/>
      <c r="Q2" s="12">
        <v>6</v>
      </c>
      <c r="R2" s="12" t="s">
        <v>0</v>
      </c>
      <c r="S2" s="13" t="s">
        <v>5</v>
      </c>
      <c r="T2" s="14">
        <f>+SUMPRODUCT(C25:C39,G25:G39)</f>
        <v>57.11242184882854</v>
      </c>
      <c r="U2" s="15"/>
      <c r="V2" s="14">
        <f>+SUMPRODUCT(C25:C39,I25:I39)</f>
        <v>18.81137197981949</v>
      </c>
      <c r="W2" s="16"/>
      <c r="X2" s="14">
        <f>+SUMPRODUCT(C25:C39,E25:E39)</f>
        <v>-0.79964</v>
      </c>
      <c r="Y2" s="16"/>
      <c r="Z2" s="16"/>
    </row>
    <row r="3" spans="1:26" s="12" customFormat="1" ht="12.75" customHeight="1">
      <c r="A3" s="203" t="str">
        <f>IF($K$3="Vietnam","Tên công trình:","Project:")</f>
        <v>Project:</v>
      </c>
      <c r="B3" s="11"/>
      <c r="C3" s="11"/>
      <c r="D3" s="23">
        <f>'Static part-Y'!C3</f>
        <v>0</v>
      </c>
      <c r="E3" s="158"/>
      <c r="F3" s="10"/>
      <c r="G3" s="10"/>
      <c r="H3" s="11"/>
      <c r="I3" s="271" t="str">
        <f>IF($K$3="Vietnam","Ngôn ngữ:","Language:")</f>
        <v>Language:</v>
      </c>
      <c r="J3" s="271"/>
      <c r="K3" s="57" t="s">
        <v>50</v>
      </c>
      <c r="L3" s="152"/>
      <c r="Q3" s="12">
        <v>7</v>
      </c>
      <c r="R3" s="12" t="s">
        <v>1</v>
      </c>
      <c r="S3" s="13" t="s">
        <v>6</v>
      </c>
      <c r="T3" s="14">
        <f>+SUMPRODUCT(C25:C39,G25:G39,G25:G39)</f>
        <v>9.10205730908234</v>
      </c>
      <c r="U3" s="15"/>
      <c r="V3" s="14">
        <f>+SUMPRODUCT(C25:C39,I25:I39,I25:I39)</f>
        <v>0.984060994014715</v>
      </c>
      <c r="W3" s="16"/>
      <c r="X3" s="14">
        <f>+SUMPRODUCT(C25:C39,E25:E39,E25:E39)</f>
        <v>0.004739512000000001</v>
      </c>
      <c r="Y3" s="16"/>
      <c r="Z3" s="16"/>
    </row>
    <row r="4" spans="1:24" s="12" customFormat="1" ht="12.75" customHeight="1">
      <c r="A4" s="203" t="str">
        <f>IF($K$3="Vietnam","Người thực hiện:","Computed by")</f>
        <v>Computed by</v>
      </c>
      <c r="B4" s="11"/>
      <c r="C4" s="11"/>
      <c r="D4" s="101">
        <f>'Static part-Y'!C4</f>
        <v>0</v>
      </c>
      <c r="E4" s="158"/>
      <c r="F4" s="10"/>
      <c r="G4" s="17"/>
      <c r="H4" s="11"/>
      <c r="I4" s="11"/>
      <c r="J4" s="11"/>
      <c r="K4" s="184"/>
      <c r="L4" s="152"/>
      <c r="Q4" s="12">
        <v>8</v>
      </c>
      <c r="R4" s="12" t="s">
        <v>2</v>
      </c>
      <c r="U4" s="18"/>
      <c r="V4" s="18"/>
      <c r="W4" s="18"/>
      <c r="X4" s="18"/>
    </row>
    <row r="5" spans="1:24" s="12" customFormat="1" ht="10.5" customHeight="1">
      <c r="A5" s="54" t="s">
        <v>53</v>
      </c>
      <c r="B5" s="23"/>
      <c r="C5" s="11"/>
      <c r="D5" s="204" t="s">
        <v>4</v>
      </c>
      <c r="E5" s="158"/>
      <c r="F5" s="10"/>
      <c r="G5" s="17"/>
      <c r="H5" s="9"/>
      <c r="I5" s="23"/>
      <c r="J5" s="23"/>
      <c r="K5" s="184"/>
      <c r="L5" s="152"/>
      <c r="Q5" s="12">
        <v>9</v>
      </c>
      <c r="U5" s="19"/>
      <c r="V5" s="19"/>
      <c r="W5" s="19"/>
      <c r="X5" s="19"/>
    </row>
    <row r="6" spans="1:24" s="12" customFormat="1" ht="6.75" customHeight="1" hidden="1">
      <c r="A6" s="54"/>
      <c r="B6" s="23"/>
      <c r="C6" s="11"/>
      <c r="D6" s="23"/>
      <c r="E6" s="158"/>
      <c r="F6" s="10"/>
      <c r="G6" s="17"/>
      <c r="H6" s="9"/>
      <c r="I6" s="10"/>
      <c r="J6" s="10"/>
      <c r="K6" s="184"/>
      <c r="L6" s="152"/>
      <c r="U6" s="19"/>
      <c r="V6" s="19"/>
      <c r="W6" s="19"/>
      <c r="X6" s="19"/>
    </row>
    <row r="7" spans="1:12" s="12" customFormat="1" ht="12.75" customHeight="1">
      <c r="A7" s="22" t="str">
        <f>IF($K$3="Vietnam","1. Số liệu tính toán","1. Input data")</f>
        <v>1. Input data</v>
      </c>
      <c r="B7" s="23"/>
      <c r="C7" s="23"/>
      <c r="D7" s="23"/>
      <c r="E7" s="158"/>
      <c r="F7" s="23"/>
      <c r="G7" s="24"/>
      <c r="H7" s="11"/>
      <c r="I7" s="23"/>
      <c r="J7" s="23"/>
      <c r="K7" s="184"/>
      <c r="L7" s="152"/>
    </row>
    <row r="8" spans="1:18" s="12" customFormat="1" ht="12.75" customHeight="1">
      <c r="A8" s="25" t="s">
        <v>97</v>
      </c>
      <c r="B8" s="11"/>
      <c r="C8" s="11"/>
      <c r="D8" s="24"/>
      <c r="E8" s="158"/>
      <c r="F8" s="11"/>
      <c r="G8" s="26">
        <v>1</v>
      </c>
      <c r="H8" s="11"/>
      <c r="I8" s="27"/>
      <c r="J8" s="11"/>
      <c r="K8" s="184"/>
      <c r="L8" s="152"/>
      <c r="Q8" s="150" t="s">
        <v>90</v>
      </c>
      <c r="R8" s="109">
        <f>SUMPRODUCT(E25:E39,I25:I39)/SUMPRODUCT(E25:E39,E25:E39,D25:D39)</f>
        <v>-0.036192361593940105</v>
      </c>
    </row>
    <row r="9" spans="1:12" s="12" customFormat="1" ht="12.75" customHeight="1">
      <c r="A9" s="25" t="s">
        <v>96</v>
      </c>
      <c r="B9" s="11"/>
      <c r="C9" s="11"/>
      <c r="D9" s="24"/>
      <c r="E9" s="158"/>
      <c r="F9" s="11"/>
      <c r="G9" s="26">
        <v>1.2</v>
      </c>
      <c r="H9" s="11"/>
      <c r="I9" s="29"/>
      <c r="J9" s="11"/>
      <c r="K9" s="184"/>
      <c r="L9" s="152"/>
    </row>
    <row r="10" spans="1:12" s="12" customFormat="1" ht="12.75" customHeight="1">
      <c r="A10" s="25" t="s">
        <v>94</v>
      </c>
      <c r="B10" s="11"/>
      <c r="C10" s="11"/>
      <c r="D10" s="24"/>
      <c r="E10" s="158"/>
      <c r="F10" s="11"/>
      <c r="G10" s="138">
        <v>1.4</v>
      </c>
      <c r="H10" s="11"/>
      <c r="I10" s="29"/>
      <c r="J10" s="11"/>
      <c r="K10" s="184"/>
      <c r="L10" s="152"/>
    </row>
    <row r="11" spans="1:12" s="12" customFormat="1" ht="12.75" customHeight="1">
      <c r="A11" s="25" t="s">
        <v>95</v>
      </c>
      <c r="B11" s="11"/>
      <c r="C11" s="11"/>
      <c r="D11" s="24"/>
      <c r="E11" s="158"/>
      <c r="F11" s="11"/>
      <c r="G11" s="274">
        <f>SQRT($G$9*9.81*'Static part-Y'!$I$11*10^3)/(940*$F$19)</f>
        <v>0.02959554391384555</v>
      </c>
      <c r="H11" s="274">
        <f>SQRT($G$9*9.81*'[1]Start'!$G$4*10^3)/(940*$F$17)</f>
        <v>0.07720026828788318</v>
      </c>
      <c r="I11" s="24"/>
      <c r="J11" s="11"/>
      <c r="K11" s="184"/>
      <c r="L11" s="152"/>
    </row>
    <row r="12" spans="1:12" s="12" customFormat="1" ht="11.25" customHeight="1">
      <c r="A12" s="25" t="s">
        <v>93</v>
      </c>
      <c r="B12" s="11"/>
      <c r="C12" s="11"/>
      <c r="D12" s="24"/>
      <c r="E12" s="159"/>
      <c r="F12" s="11"/>
      <c r="G12" s="108">
        <f>+'Bảng tra K'!C45</f>
        <v>0.747</v>
      </c>
      <c r="H12" s="11"/>
      <c r="I12" s="24"/>
      <c r="J12" s="23"/>
      <c r="K12" s="184"/>
      <c r="L12" s="152"/>
    </row>
    <row r="13" spans="1:12" s="12" customFormat="1" ht="4.5" customHeight="1" hidden="1">
      <c r="A13" s="25"/>
      <c r="B13" s="11"/>
      <c r="C13" s="11"/>
      <c r="D13" s="24"/>
      <c r="E13" s="159"/>
      <c r="F13" s="11"/>
      <c r="G13" s="26"/>
      <c r="H13" s="11"/>
      <c r="I13" s="24"/>
      <c r="J13" s="23"/>
      <c r="K13" s="184"/>
      <c r="L13" s="152"/>
    </row>
    <row r="14" spans="1:12" s="12" customFormat="1" ht="12.75" customHeight="1">
      <c r="A14" s="22" t="s">
        <v>66</v>
      </c>
      <c r="B14" s="24"/>
      <c r="C14" s="11"/>
      <c r="D14" s="11"/>
      <c r="E14" s="160"/>
      <c r="F14" s="30"/>
      <c r="G14" s="24"/>
      <c r="H14" s="23"/>
      <c r="I14" s="11"/>
      <c r="J14" s="11"/>
      <c r="K14" s="184"/>
      <c r="L14" s="152"/>
    </row>
    <row r="15" spans="1:12" s="12" customFormat="1" ht="6.75" customHeight="1">
      <c r="A15" s="22"/>
      <c r="B15" s="24"/>
      <c r="C15" s="11"/>
      <c r="D15" s="11"/>
      <c r="E15" s="160"/>
      <c r="F15" s="30"/>
      <c r="G15" s="24"/>
      <c r="H15" s="23"/>
      <c r="I15" s="11"/>
      <c r="J15" s="11"/>
      <c r="K15" s="184"/>
      <c r="L15" s="152"/>
    </row>
    <row r="16" spans="1:12" s="12" customFormat="1" ht="12.75" customHeight="1">
      <c r="A16" s="31"/>
      <c r="B16" s="11"/>
      <c r="C16" s="273" t="s">
        <v>85</v>
      </c>
      <c r="D16" s="273"/>
      <c r="E16" s="32" t="s">
        <v>87</v>
      </c>
      <c r="F16" s="33" t="s">
        <v>88</v>
      </c>
      <c r="G16" s="59"/>
      <c r="H16" s="11"/>
      <c r="I16" s="34"/>
      <c r="J16" s="11"/>
      <c r="K16" s="184"/>
      <c r="L16" s="152"/>
    </row>
    <row r="17" spans="1:12" s="12" customFormat="1" ht="12.75" customHeight="1">
      <c r="A17" s="31"/>
      <c r="B17" s="11"/>
      <c r="C17" s="273" t="str">
        <f>'Dynamic- X1'!C17:D17</f>
        <v>Mode 1</v>
      </c>
      <c r="D17" s="273"/>
      <c r="E17" s="35">
        <f>'Dynamic-X2'!E17</f>
        <v>2.17</v>
      </c>
      <c r="F17" s="58">
        <f>1/E17</f>
        <v>0.4608294930875576</v>
      </c>
      <c r="G17" s="11"/>
      <c r="H17" s="11"/>
      <c r="I17" s="110"/>
      <c r="J17" s="110"/>
      <c r="K17" s="185"/>
      <c r="L17" s="152"/>
    </row>
    <row r="18" spans="1:12" s="12" customFormat="1" ht="12.75" customHeight="1">
      <c r="A18" s="31"/>
      <c r="B18" s="11"/>
      <c r="C18" s="273" t="str">
        <f>'Dynamic- X1'!C18:D18</f>
        <v>Mode 2</v>
      </c>
      <c r="D18" s="273"/>
      <c r="E18" s="35">
        <f>'Dynamic-X2'!E18</f>
        <v>1.57</v>
      </c>
      <c r="F18" s="58">
        <f>1/E18</f>
        <v>0.6369426751592356</v>
      </c>
      <c r="G18" s="24" t="s">
        <v>40</v>
      </c>
      <c r="H18" s="111" t="str">
        <f>'Dynamic- X1'!H18</f>
        <v>Tính đến cả ba dạng dao động</v>
      </c>
      <c r="I18" s="110"/>
      <c r="J18" s="110"/>
      <c r="K18" s="185"/>
      <c r="L18" s="152"/>
    </row>
    <row r="19" spans="1:12" s="12" customFormat="1" ht="12.75" customHeight="1">
      <c r="A19" s="31"/>
      <c r="B19" s="11"/>
      <c r="C19" s="275" t="str">
        <f>'Dynamic- X1'!C19:D19</f>
        <v>Mode 3</v>
      </c>
      <c r="D19" s="275"/>
      <c r="E19" s="140">
        <f>'Dynamic-X2'!E19</f>
        <v>0.89</v>
      </c>
      <c r="F19" s="166">
        <f>1/E19</f>
        <v>1.1235955056179776</v>
      </c>
      <c r="G19" s="11"/>
      <c r="H19" s="11"/>
      <c r="I19" s="34"/>
      <c r="J19" s="11"/>
      <c r="K19" s="184"/>
      <c r="L19" s="152"/>
    </row>
    <row r="20" spans="1:12" s="12" customFormat="1" ht="12.75" customHeight="1">
      <c r="A20" s="31"/>
      <c r="B20" s="11"/>
      <c r="C20" s="273" t="str">
        <f>'Dynamic- X1'!C20:D20</f>
        <v>Limiting frequency</v>
      </c>
      <c r="D20" s="276"/>
      <c r="E20" s="167" t="s">
        <v>10</v>
      </c>
      <c r="F20" s="58">
        <v>1.3</v>
      </c>
      <c r="G20" s="11"/>
      <c r="H20" s="48"/>
      <c r="I20" s="34"/>
      <c r="J20" s="11"/>
      <c r="K20" s="184"/>
      <c r="L20" s="152"/>
    </row>
    <row r="21" spans="1:12" s="12" customFormat="1" ht="5.25" customHeight="1">
      <c r="A21" s="31"/>
      <c r="B21" s="11"/>
      <c r="C21" s="24"/>
      <c r="D21" s="24"/>
      <c r="E21" s="161"/>
      <c r="F21" s="48"/>
      <c r="G21" s="11"/>
      <c r="H21" s="48"/>
      <c r="I21" s="34"/>
      <c r="J21" s="11"/>
      <c r="K21" s="184"/>
      <c r="L21" s="152"/>
    </row>
    <row r="22" spans="1:12" s="12" customFormat="1" ht="12.75" customHeight="1">
      <c r="A22" s="22" t="s">
        <v>111</v>
      </c>
      <c r="B22" s="23"/>
      <c r="C22" s="23"/>
      <c r="D22" s="23"/>
      <c r="E22" s="159"/>
      <c r="F22" s="36"/>
      <c r="G22" s="37"/>
      <c r="H22" s="11"/>
      <c r="I22" s="11"/>
      <c r="J22" s="11"/>
      <c r="K22" s="184"/>
      <c r="L22" s="152"/>
    </row>
    <row r="23" spans="1:12" s="12" customFormat="1" ht="5.25" customHeight="1">
      <c r="A23" s="22"/>
      <c r="B23" s="23"/>
      <c r="C23" s="23"/>
      <c r="D23" s="23"/>
      <c r="E23" s="159"/>
      <c r="F23" s="36"/>
      <c r="G23" s="37"/>
      <c r="H23" s="11"/>
      <c r="I23" s="11"/>
      <c r="J23" s="11"/>
      <c r="K23" s="184"/>
      <c r="L23" s="152"/>
    </row>
    <row r="24" spans="1:12" s="12" customFormat="1" ht="62.25" customHeight="1">
      <c r="A24" s="106" t="s">
        <v>70</v>
      </c>
      <c r="B24" s="33" t="s">
        <v>84</v>
      </c>
      <c r="C24" s="33" t="s">
        <v>71</v>
      </c>
      <c r="D24" s="107" t="s">
        <v>72</v>
      </c>
      <c r="E24" s="162" t="s">
        <v>114</v>
      </c>
      <c r="F24" s="107" t="s">
        <v>89</v>
      </c>
      <c r="G24" s="107" t="s">
        <v>92</v>
      </c>
      <c r="H24" s="107" t="s">
        <v>91</v>
      </c>
      <c r="I24" s="107" t="s">
        <v>100</v>
      </c>
      <c r="J24" s="107" t="s">
        <v>98</v>
      </c>
      <c r="K24" s="186" t="s">
        <v>99</v>
      </c>
      <c r="L24" s="119" t="s">
        <v>83</v>
      </c>
    </row>
    <row r="25" spans="1:12" s="12" customFormat="1" ht="12.75" customHeight="1">
      <c r="A25" s="38">
        <f>+'Static part-Y'!A17</f>
        <v>1</v>
      </c>
      <c r="B25" s="32">
        <f>'Dynamic- X1'!B25</f>
        <v>1.2</v>
      </c>
      <c r="C25" s="40">
        <f>'Dynamic- X1'!C25</f>
        <v>1.2</v>
      </c>
      <c r="D25" s="206">
        <f>'Dynamic- X1'!D25</f>
        <v>750</v>
      </c>
      <c r="E25" s="250">
        <v>0</v>
      </c>
      <c r="F25" s="133">
        <f>'Dynamic- X1'!F25</f>
        <v>43.39999999999999</v>
      </c>
      <c r="G25" s="112">
        <f>+'Static part-X'!G17</f>
        <v>0.10147073776179422</v>
      </c>
      <c r="H25" s="112">
        <f aca="true" t="shared" si="0" ref="H25:H39">IF(C25&gt;0,0.486*(C25/10)^-0.09,"---")</f>
        <v>0.5881795992477002</v>
      </c>
      <c r="I25" s="112">
        <f aca="true" t="shared" si="1" ref="I25:I39">IF(G25="---","---",G25*H25*$G$12)</f>
        <v>0.04458321435045915</v>
      </c>
      <c r="J25" s="41">
        <f aca="true" t="shared" si="2" ref="J25:J39">IF(G25="---","---",D25*$G$10*$R$8*E25)</f>
        <v>0</v>
      </c>
      <c r="K25" s="167">
        <f aca="true" t="shared" si="3" ref="K25:K39">IF(G25="---","---",F25*J25)</f>
        <v>0</v>
      </c>
      <c r="L25" s="42" t="str">
        <f>'Static part-Y'!L17</f>
        <v>D</v>
      </c>
    </row>
    <row r="26" spans="1:12" s="12" customFormat="1" ht="12.75" customHeight="1">
      <c r="A26" s="38">
        <f>+'Static part-Y'!A18</f>
        <v>2</v>
      </c>
      <c r="B26" s="32">
        <f>'Dynamic- X1'!B26</f>
        <v>3.8</v>
      </c>
      <c r="C26" s="40">
        <f>'Dynamic- X1'!C26</f>
        <v>5</v>
      </c>
      <c r="D26" s="206">
        <f>'Dynamic- X1'!D26</f>
        <v>515</v>
      </c>
      <c r="E26" s="250">
        <v>-0.0001</v>
      </c>
      <c r="F26" s="133">
        <f>'Dynamic- X1'!F26</f>
        <v>49</v>
      </c>
      <c r="G26" s="112">
        <f>+'Static part-X'!G18</f>
        <v>0.12391139438738087</v>
      </c>
      <c r="H26" s="112">
        <f t="shared" si="0"/>
        <v>0.5172839086723329</v>
      </c>
      <c r="I26" s="112">
        <f t="shared" si="1"/>
        <v>0.047880735702054276</v>
      </c>
      <c r="J26" s="41">
        <f t="shared" si="2"/>
        <v>0.002609469270923082</v>
      </c>
      <c r="K26" s="167">
        <f t="shared" si="3"/>
        <v>0.127863994275231</v>
      </c>
      <c r="L26" s="42" t="str">
        <f>'Static part-Y'!L18</f>
        <v>D</v>
      </c>
    </row>
    <row r="27" spans="1:12" s="12" customFormat="1" ht="12.75" customHeight="1">
      <c r="A27" s="38">
        <f>+'Static part-Y'!A19</f>
        <v>3</v>
      </c>
      <c r="B27" s="32">
        <f>'Dynamic- X1'!B27</f>
        <v>3.2</v>
      </c>
      <c r="C27" s="40">
        <f>'Dynamic- X1'!C27</f>
        <v>8.2</v>
      </c>
      <c r="D27" s="206">
        <f>'Dynamic- X1'!D27</f>
        <v>737</v>
      </c>
      <c r="E27" s="250">
        <v>0.0002</v>
      </c>
      <c r="F27" s="133">
        <f>'Dynamic- X1'!F27</f>
        <v>44.800000000000004</v>
      </c>
      <c r="G27" s="112">
        <f>+'Static part-X'!G19</f>
        <v>0.13279734211520688</v>
      </c>
      <c r="H27" s="112">
        <f t="shared" si="0"/>
        <v>0.494758224744355</v>
      </c>
      <c r="I27" s="112">
        <f t="shared" si="1"/>
        <v>0.04907982519505932</v>
      </c>
      <c r="J27" s="41">
        <f t="shared" si="2"/>
        <v>-0.007468655738525481</v>
      </c>
      <c r="K27" s="167">
        <f t="shared" si="3"/>
        <v>-0.33459577708594157</v>
      </c>
      <c r="L27" s="42" t="str">
        <f>'Static part-Y'!L19</f>
        <v>D</v>
      </c>
    </row>
    <row r="28" spans="1:12" s="12" customFormat="1" ht="12.75" customHeight="1">
      <c r="A28" s="38">
        <f>+'Static part-Y'!A20</f>
        <v>4</v>
      </c>
      <c r="B28" s="32">
        <f>'Dynamic- X1'!B28</f>
        <v>3.2</v>
      </c>
      <c r="C28" s="40">
        <f>'Dynamic- X1'!C28</f>
        <v>11.399999999999999</v>
      </c>
      <c r="D28" s="206">
        <f>'Dynamic- X1'!D28</f>
        <v>780</v>
      </c>
      <c r="E28" s="250">
        <v>0.0002</v>
      </c>
      <c r="F28" s="133">
        <f>'Dynamic- X1'!F28</f>
        <v>50.4</v>
      </c>
      <c r="G28" s="112">
        <f>+'Static part-X'!G20</f>
        <v>0.139066371337922</v>
      </c>
      <c r="H28" s="112">
        <f t="shared" si="0"/>
        <v>0.4803024839322135</v>
      </c>
      <c r="I28" s="112">
        <f t="shared" si="1"/>
        <v>0.0498950609180275</v>
      </c>
      <c r="J28" s="41">
        <f t="shared" si="2"/>
        <v>-0.00790441177211652</v>
      </c>
      <c r="K28" s="167">
        <f t="shared" si="3"/>
        <v>-0.3983823533146726</v>
      </c>
      <c r="L28" s="42" t="str">
        <f>'Static part-Y'!L20</f>
        <v>D</v>
      </c>
    </row>
    <row r="29" spans="1:12" s="12" customFormat="1" ht="12.75" customHeight="1">
      <c r="A29" s="38">
        <f>+'Static part-Y'!A21</f>
        <v>5</v>
      </c>
      <c r="B29" s="32">
        <f>'Dynamic- X1'!B29</f>
        <v>4</v>
      </c>
      <c r="C29" s="40">
        <f>'Dynamic- X1'!C29</f>
        <v>15.399999999999999</v>
      </c>
      <c r="D29" s="206">
        <f>'Dynamic- X1'!D29</f>
        <v>688</v>
      </c>
      <c r="E29" s="250">
        <v>0.0001</v>
      </c>
      <c r="F29" s="133">
        <f>'Dynamic- X1'!F29</f>
        <v>49</v>
      </c>
      <c r="G29" s="112">
        <f>+'Static part-X'!G21</f>
        <v>0.14504686431439412</v>
      </c>
      <c r="H29" s="112">
        <f t="shared" si="0"/>
        <v>0.4674760915830606</v>
      </c>
      <c r="I29" s="112">
        <f t="shared" si="1"/>
        <v>0.05065103809587538</v>
      </c>
      <c r="J29" s="41">
        <f t="shared" si="2"/>
        <v>-0.003486048268728311</v>
      </c>
      <c r="K29" s="167">
        <f t="shared" si="3"/>
        <v>-0.17081636516768725</v>
      </c>
      <c r="L29" s="42" t="str">
        <f>'Static part-Y'!L21</f>
        <v>D</v>
      </c>
    </row>
    <row r="30" spans="1:12" s="12" customFormat="1" ht="12.75" customHeight="1">
      <c r="A30" s="38">
        <f>+'Static part-Y'!A22</f>
        <v>6</v>
      </c>
      <c r="B30" s="32">
        <f>'Dynamic- X1'!B30</f>
        <v>3</v>
      </c>
      <c r="C30" s="40">
        <f>'Dynamic- X1'!C30</f>
        <v>18.4</v>
      </c>
      <c r="D30" s="206">
        <f>'Dynamic- X1'!D30</f>
        <v>617</v>
      </c>
      <c r="E30" s="250">
        <v>0</v>
      </c>
      <c r="F30" s="133">
        <f>'Dynamic- X1'!F30</f>
        <v>42</v>
      </c>
      <c r="G30" s="112">
        <f>+'Static part-X'!G22</f>
        <v>0.14870649545176287</v>
      </c>
      <c r="H30" s="112">
        <f t="shared" si="0"/>
        <v>0.4600474896180824</v>
      </c>
      <c r="I30" s="112">
        <f t="shared" si="1"/>
        <v>0.05110380129209727</v>
      </c>
      <c r="J30" s="41">
        <f t="shared" si="2"/>
        <v>0</v>
      </c>
      <c r="K30" s="167">
        <f t="shared" si="3"/>
        <v>0</v>
      </c>
      <c r="L30" s="42" t="str">
        <f>'Static part-Y'!L22</f>
        <v>D</v>
      </c>
    </row>
    <row r="31" spans="1:12" s="12" customFormat="1" ht="12.75" customHeight="1">
      <c r="A31" s="38">
        <f>+'Static part-Y'!A23</f>
        <v>7</v>
      </c>
      <c r="B31" s="32">
        <f>'Dynamic- X1'!B31</f>
        <v>3</v>
      </c>
      <c r="C31" s="40">
        <f>'Dynamic- X1'!C31</f>
        <v>21.4</v>
      </c>
      <c r="D31" s="206">
        <f>'Dynamic- X1'!D31</f>
        <v>618</v>
      </c>
      <c r="E31" s="250">
        <v>-0.0002</v>
      </c>
      <c r="F31" s="133">
        <f>'Dynamic- X1'!F31</f>
        <v>42</v>
      </c>
      <c r="G31" s="112">
        <f>+'Static part-X'!G23</f>
        <v>0.15188447061893495</v>
      </c>
      <c r="H31" s="112">
        <f t="shared" si="0"/>
        <v>0.4538360907612247</v>
      </c>
      <c r="I31" s="112">
        <f t="shared" si="1"/>
        <v>0.05149119883159754</v>
      </c>
      <c r="J31" s="41">
        <f t="shared" si="2"/>
        <v>0.006262726250215396</v>
      </c>
      <c r="K31" s="167">
        <f t="shared" si="3"/>
        <v>0.26303450250904664</v>
      </c>
      <c r="L31" s="42" t="str">
        <f>'Static part-Y'!L23</f>
        <v>D</v>
      </c>
    </row>
    <row r="32" spans="1:12" s="12" customFormat="1" ht="12.75" customHeight="1">
      <c r="A32" s="38">
        <f>+'Static part-Y'!A24</f>
        <v>8</v>
      </c>
      <c r="B32" s="32">
        <f>'Dynamic- X1'!B32</f>
        <v>3</v>
      </c>
      <c r="C32" s="40">
        <f>'Dynamic- X1'!C32</f>
        <v>24.4</v>
      </c>
      <c r="D32" s="206">
        <f>'Dynamic- X1'!D32</f>
        <v>618</v>
      </c>
      <c r="E32" s="250">
        <v>-0.0004</v>
      </c>
      <c r="F32" s="133">
        <f>'Dynamic- X1'!F32</f>
        <v>42</v>
      </c>
      <c r="G32" s="112">
        <f>+'Static part-X'!G24</f>
        <v>0.15469989511256305</v>
      </c>
      <c r="H32" s="112">
        <f t="shared" si="0"/>
        <v>0.44850902340135607</v>
      </c>
      <c r="I32" s="112">
        <f t="shared" si="1"/>
        <v>0.05183007126128922</v>
      </c>
      <c r="J32" s="41">
        <f t="shared" si="2"/>
        <v>0.012525452500430792</v>
      </c>
      <c r="K32" s="167">
        <f t="shared" si="3"/>
        <v>0.5260690050180933</v>
      </c>
      <c r="L32" s="42" t="str">
        <f>'Static part-Y'!L24</f>
        <v>D</v>
      </c>
    </row>
    <row r="33" spans="1:12" s="12" customFormat="1" ht="12.75" customHeight="1">
      <c r="A33" s="38">
        <f>+'Static part-Y'!A25</f>
        <v>9</v>
      </c>
      <c r="B33" s="32">
        <f>'Dynamic- X1'!B33</f>
        <v>3</v>
      </c>
      <c r="C33" s="40">
        <f>'Dynamic- X1'!C33</f>
        <v>27.4</v>
      </c>
      <c r="D33" s="206">
        <f>'Dynamic- X1'!D33</f>
        <v>618</v>
      </c>
      <c r="E33" s="250">
        <v>-0.0007</v>
      </c>
      <c r="F33" s="133">
        <f>'Dynamic- X1'!F33</f>
        <v>42</v>
      </c>
      <c r="G33" s="112">
        <f>+'Static part-X'!G25</f>
        <v>0.15723184926279016</v>
      </c>
      <c r="H33" s="112">
        <f t="shared" si="0"/>
        <v>0.4438525492820627</v>
      </c>
      <c r="I33" s="112">
        <f t="shared" si="1"/>
        <v>0.05213145457134595</v>
      </c>
      <c r="J33" s="41">
        <f t="shared" si="2"/>
        <v>0.021919541875753883</v>
      </c>
      <c r="K33" s="167">
        <f t="shared" si="3"/>
        <v>0.920620758781663</v>
      </c>
      <c r="L33" s="42" t="str">
        <f>'Static part-Y'!L25</f>
        <v>D</v>
      </c>
    </row>
    <row r="34" spans="1:12" s="12" customFormat="1" ht="12.75" customHeight="1">
      <c r="A34" s="38">
        <f>+'Static part-Y'!A26</f>
        <v>10</v>
      </c>
      <c r="B34" s="32">
        <f>'Dynamic- X1'!B34</f>
        <v>3</v>
      </c>
      <c r="C34" s="40">
        <f>'Dynamic- X1'!C34</f>
        <v>30.4</v>
      </c>
      <c r="D34" s="206">
        <f>'Dynamic- X1'!D34</f>
        <v>612</v>
      </c>
      <c r="E34" s="250">
        <v>-0.001</v>
      </c>
      <c r="F34" s="133">
        <f>'Dynamic- X1'!F34</f>
        <v>42</v>
      </c>
      <c r="G34" s="112">
        <f>+'Static part-X'!G26</f>
        <v>0.15953564968210496</v>
      </c>
      <c r="H34" s="112">
        <f t="shared" si="0"/>
        <v>0.43972144527503815</v>
      </c>
      <c r="I34" s="112">
        <f t="shared" si="1"/>
        <v>0.05240298109897721</v>
      </c>
      <c r="J34" s="41">
        <f t="shared" si="2"/>
        <v>0.03100961541368788</v>
      </c>
      <c r="K34" s="167">
        <f t="shared" si="3"/>
        <v>1.302403847374891</v>
      </c>
      <c r="L34" s="42" t="str">
        <f>'Static part-Y'!L26</f>
        <v>D</v>
      </c>
    </row>
    <row r="35" spans="1:12" s="12" customFormat="1" ht="12.75" customHeight="1">
      <c r="A35" s="38">
        <f>+'Static part-Y'!A27</f>
        <v>11</v>
      </c>
      <c r="B35" s="32">
        <f>'Dynamic- X1'!B35</f>
        <v>3</v>
      </c>
      <c r="C35" s="40">
        <f>'Dynamic- X1'!C35</f>
        <v>33.4</v>
      </c>
      <c r="D35" s="206">
        <f>'Dynamic- X1'!D35</f>
        <v>612</v>
      </c>
      <c r="E35" s="250">
        <v>-0.0014</v>
      </c>
      <c r="F35" s="133">
        <f>'Dynamic- X1'!F35</f>
        <v>42</v>
      </c>
      <c r="G35" s="112">
        <f>+'Static part-X'!G27</f>
        <v>0.16165157817687237</v>
      </c>
      <c r="H35" s="112">
        <f t="shared" si="0"/>
        <v>0.43601264763764325</v>
      </c>
      <c r="I35" s="112">
        <f t="shared" si="1"/>
        <v>0.05265015304898909</v>
      </c>
      <c r="J35" s="41">
        <f t="shared" si="2"/>
        <v>0.04341346157916303</v>
      </c>
      <c r="K35" s="167">
        <f t="shared" si="3"/>
        <v>1.8233653863248473</v>
      </c>
      <c r="L35" s="42" t="str">
        <f>'Static part-Y'!L27</f>
        <v>D</v>
      </c>
    </row>
    <row r="36" spans="1:12" s="12" customFormat="1" ht="12.75" customHeight="1">
      <c r="A36" s="38">
        <f>+'Static part-Y'!A28</f>
        <v>12</v>
      </c>
      <c r="B36" s="32">
        <f>'Dynamic- X1'!B36</f>
        <v>3</v>
      </c>
      <c r="C36" s="40">
        <f>'Dynamic- X1'!C36</f>
        <v>36.4</v>
      </c>
      <c r="D36" s="206">
        <f>'Dynamic- X1'!D36</f>
        <v>612</v>
      </c>
      <c r="E36" s="250">
        <v>-0.0018</v>
      </c>
      <c r="F36" s="133">
        <f>'Dynamic- X1'!F36</f>
        <v>42</v>
      </c>
      <c r="G36" s="112">
        <f>+'Static part-X'!G28</f>
        <v>0.1636099218773056</v>
      </c>
      <c r="H36" s="112">
        <f t="shared" si="0"/>
        <v>0.43265043502952</v>
      </c>
      <c r="I36" s="112">
        <f t="shared" si="1"/>
        <v>0.05287707019489546</v>
      </c>
      <c r="J36" s="41">
        <f t="shared" si="2"/>
        <v>0.05581730774463818</v>
      </c>
      <c r="K36" s="167">
        <f t="shared" si="3"/>
        <v>2.3443269252748036</v>
      </c>
      <c r="L36" s="42" t="str">
        <f>'Static part-Y'!L28</f>
        <v>D</v>
      </c>
    </row>
    <row r="37" spans="1:12" s="12" customFormat="1" ht="12.75" customHeight="1">
      <c r="A37" s="38">
        <f>+'Static part-Y'!A29</f>
        <v>13</v>
      </c>
      <c r="B37" s="32">
        <f>'Dynamic- X1'!B37</f>
        <v>3</v>
      </c>
      <c r="C37" s="40">
        <f>'Dynamic- X1'!C37</f>
        <v>39.4</v>
      </c>
      <c r="D37" s="206">
        <f>'Dynamic- X1'!D37</f>
        <v>612</v>
      </c>
      <c r="E37" s="250">
        <v>-0.0021</v>
      </c>
      <c r="F37" s="133">
        <f>'Dynamic- X1'!F37</f>
        <v>42</v>
      </c>
      <c r="G37" s="112">
        <f>+'Static part-X'!G29</f>
        <v>0.1654340548572955</v>
      </c>
      <c r="H37" s="112">
        <f t="shared" si="0"/>
        <v>0.4295775821701121</v>
      </c>
      <c r="I37" s="112">
        <f t="shared" si="1"/>
        <v>0.05308687068676343</v>
      </c>
      <c r="J37" s="41">
        <f t="shared" si="2"/>
        <v>0.06512019236874454</v>
      </c>
      <c r="K37" s="167">
        <f t="shared" si="3"/>
        <v>2.735048079487271</v>
      </c>
      <c r="L37" s="42" t="str">
        <f>'Static part-Y'!L29</f>
        <v>D</v>
      </c>
    </row>
    <row r="38" spans="1:12" s="12" customFormat="1" ht="12.75" customHeight="1">
      <c r="A38" s="38">
        <f>+'Static part-Y'!A30</f>
        <v>14</v>
      </c>
      <c r="B38" s="32">
        <f>'Dynamic- X1'!B38</f>
        <v>3</v>
      </c>
      <c r="C38" s="40">
        <f>'Dynamic- X1'!C38</f>
        <v>42.4</v>
      </c>
      <c r="D38" s="206">
        <f>'Dynamic- X1'!D38</f>
        <v>506</v>
      </c>
      <c r="E38" s="250">
        <v>-0.0029</v>
      </c>
      <c r="F38" s="133">
        <f>'Dynamic- X1'!F38</f>
        <v>39.199999999999996</v>
      </c>
      <c r="G38" s="112">
        <f>+'Static part-X'!G30</f>
        <v>0.16714241137818467</v>
      </c>
      <c r="H38" s="112">
        <f t="shared" si="0"/>
        <v>0.4267498156414775</v>
      </c>
      <c r="I38" s="112">
        <f t="shared" si="1"/>
        <v>0.05328201095140969</v>
      </c>
      <c r="J38" s="41">
        <f t="shared" si="2"/>
        <v>0.07435213996412679</v>
      </c>
      <c r="K38" s="167">
        <f t="shared" si="3"/>
        <v>2.91460388659377</v>
      </c>
      <c r="L38" s="42" t="str">
        <f>'Static part-Y'!L30</f>
        <v>D</v>
      </c>
    </row>
    <row r="39" spans="1:12" s="12" customFormat="1" ht="12.75" customHeight="1">
      <c r="A39" s="38">
        <f>+'Static part-Y'!A31</f>
        <v>15</v>
      </c>
      <c r="B39" s="32">
        <f>'Dynamic- X1'!B39</f>
        <v>2.6</v>
      </c>
      <c r="C39" s="40">
        <f>'Dynamic- X1'!C39</f>
        <v>45</v>
      </c>
      <c r="D39" s="206">
        <f>'Dynamic- X1'!D39</f>
        <v>197</v>
      </c>
      <c r="E39" s="250">
        <v>-0.0094</v>
      </c>
      <c r="F39" s="133">
        <f>'Dynamic- X1'!F39</f>
        <v>18.2</v>
      </c>
      <c r="G39" s="112">
        <f>+'Static part-X'!G31</f>
        <v>0.1685408560632055</v>
      </c>
      <c r="H39" s="112">
        <f t="shared" si="0"/>
        <v>0.4244701385108057</v>
      </c>
      <c r="I39" s="112">
        <f t="shared" si="1"/>
        <v>0.053440798706855315</v>
      </c>
      <c r="J39" s="41">
        <f t="shared" si="2"/>
        <v>0.09382942127952158</v>
      </c>
      <c r="K39" s="167">
        <f t="shared" si="3"/>
        <v>1.7076954672872928</v>
      </c>
      <c r="L39" s="42" t="str">
        <f>'Static part-Y'!L31</f>
        <v>D</v>
      </c>
    </row>
    <row r="40" spans="1:13" s="12" customFormat="1" ht="6.75" customHeight="1">
      <c r="A40" s="53"/>
      <c r="B40" s="11"/>
      <c r="C40" s="55"/>
      <c r="D40" s="56"/>
      <c r="E40" s="161"/>
      <c r="F40" s="56"/>
      <c r="G40" s="57"/>
      <c r="H40" s="11"/>
      <c r="I40" s="57"/>
      <c r="J40" s="11"/>
      <c r="K40" s="57"/>
      <c r="L40" s="20"/>
      <c r="M40" s="16"/>
    </row>
    <row r="41" spans="1:13" s="12" customFormat="1" ht="12.75" customHeight="1">
      <c r="A41" s="22" t="s">
        <v>67</v>
      </c>
      <c r="B41" s="43"/>
      <c r="C41" s="43"/>
      <c r="D41" s="11"/>
      <c r="E41" s="159"/>
      <c r="F41" s="27"/>
      <c r="G41" s="44"/>
      <c r="H41" s="44"/>
      <c r="I41" s="44"/>
      <c r="J41" s="44"/>
      <c r="K41" s="184"/>
      <c r="L41" s="20"/>
      <c r="M41" s="16"/>
    </row>
    <row r="42" spans="1:12" s="12" customFormat="1" ht="12.75" customHeight="1">
      <c r="A42" s="100" t="s">
        <v>68</v>
      </c>
      <c r="B42" s="45"/>
      <c r="C42" s="23"/>
      <c r="D42" s="23"/>
      <c r="E42" s="158"/>
      <c r="F42" s="23"/>
      <c r="G42" s="101" t="s">
        <v>69</v>
      </c>
      <c r="H42" s="45"/>
      <c r="I42" s="23"/>
      <c r="J42" s="11"/>
      <c r="K42" s="184"/>
      <c r="L42" s="20"/>
    </row>
    <row r="43" spans="1:12" s="12" customFormat="1" ht="12.75" customHeight="1">
      <c r="A43" s="47"/>
      <c r="B43" s="114" t="s">
        <v>45</v>
      </c>
      <c r="C43" s="24">
        <f>+SUMPRODUCT(C25:C39,K25:K39)</f>
        <v>528.4269107094063</v>
      </c>
      <c r="D43" s="114" t="s">
        <v>7</v>
      </c>
      <c r="E43" s="159"/>
      <c r="F43" s="11"/>
      <c r="G43" s="46"/>
      <c r="H43" s="114" t="s">
        <v>46</v>
      </c>
      <c r="I43" s="48">
        <f>SUM(K25:K39)</f>
        <v>13.761237357358608</v>
      </c>
      <c r="J43" s="132" t="s">
        <v>8</v>
      </c>
      <c r="K43" s="184"/>
      <c r="L43" s="20"/>
    </row>
    <row r="44" spans="1:12" s="12" customFormat="1" ht="12.75" customHeight="1" thickBot="1">
      <c r="A44" s="49" t="s">
        <v>64</v>
      </c>
      <c r="B44" s="50"/>
      <c r="C44" s="50"/>
      <c r="D44" s="51"/>
      <c r="E44" s="163"/>
      <c r="F44" s="51"/>
      <c r="G44" s="50"/>
      <c r="H44" s="50" t="s">
        <v>64</v>
      </c>
      <c r="I44" s="50"/>
      <c r="J44" s="50"/>
      <c r="K44" s="187"/>
      <c r="L44" s="52"/>
    </row>
  </sheetData>
  <sheetProtection formatCells="0" formatColumns="0" formatRows="0" insertColumns="0" insertRows="0" insertHyperlinks="0" deleteColumns="0" deleteRows="0" sort="0" autoFilter="0" pivotTables="0"/>
  <mergeCells count="10">
    <mergeCell ref="A1:I1"/>
    <mergeCell ref="I3:J3"/>
    <mergeCell ref="J2:K2"/>
    <mergeCell ref="C20:D20"/>
    <mergeCell ref="G11:H11"/>
    <mergeCell ref="C16:D16"/>
    <mergeCell ref="C17:D17"/>
    <mergeCell ref="C18:D18"/>
    <mergeCell ref="C19:D19"/>
    <mergeCell ref="A2:B2"/>
  </mergeCells>
  <dataValidations count="1">
    <dataValidation type="list" allowBlank="1" showInputMessage="1" showErrorMessage="1" sqref="D12:D13">
      <formula1>$Q$2:$Q$5</formula1>
    </dataValidation>
  </dataValidations>
  <printOptions verticalCentered="1"/>
  <pageMargins left="0.77" right="0.26" top="0.31" bottom="0.3" header="0.34" footer="0.3"/>
  <pageSetup blackAndWhite="1" horizontalDpi="600" verticalDpi="600" orientation="portrait" paperSize="9" scale="90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125" zoomScaleNormal="110" zoomScaleSheetLayoutView="125" zoomScalePageLayoutView="0" workbookViewId="0" topLeftCell="A1">
      <selection activeCell="G11" sqref="G11:H11"/>
    </sheetView>
  </sheetViews>
  <sheetFormatPr defaultColWidth="9.140625" defaultRowHeight="12.75"/>
  <cols>
    <col min="1" max="1" width="7.28125" style="1" customWidth="1"/>
    <col min="2" max="3" width="6.421875" style="1" customWidth="1"/>
    <col min="4" max="4" width="7.140625" style="1" customWidth="1"/>
    <col min="5" max="10" width="8.7109375" style="1" customWidth="1"/>
    <col min="11" max="11" width="8.7109375" style="188" customWidth="1"/>
    <col min="12" max="12" width="8.7109375" style="1" customWidth="1"/>
    <col min="13" max="16384" width="9.140625" style="1" customWidth="1"/>
  </cols>
  <sheetData>
    <row r="1" spans="1:24" ht="31.5" customHeight="1">
      <c r="A1" s="251" t="s">
        <v>124</v>
      </c>
      <c r="B1" s="252"/>
      <c r="C1" s="252"/>
      <c r="D1" s="252"/>
      <c r="E1" s="252"/>
      <c r="F1" s="252"/>
      <c r="G1" s="252"/>
      <c r="H1" s="252"/>
      <c r="I1" s="200"/>
      <c r="J1" s="200"/>
      <c r="K1" s="200"/>
      <c r="L1" s="201"/>
      <c r="U1" s="8"/>
      <c r="V1" s="8"/>
      <c r="W1" s="8"/>
      <c r="X1" s="8"/>
    </row>
    <row r="2" spans="1:26" s="12" customFormat="1" ht="12.75" customHeight="1">
      <c r="A2" s="203" t="str">
        <f>'Static part-Y'!A2:B2</f>
        <v>Applied Standard</v>
      </c>
      <c r="B2" s="11"/>
      <c r="C2" s="11"/>
      <c r="D2" s="101" t="s">
        <v>52</v>
      </c>
      <c r="E2" s="23"/>
      <c r="F2" s="10"/>
      <c r="G2" s="10"/>
      <c r="H2" s="10"/>
      <c r="I2" s="11"/>
      <c r="J2" s="272">
        <f ca="1">TODAY()</f>
        <v>42500</v>
      </c>
      <c r="K2" s="272"/>
      <c r="L2" s="20"/>
      <c r="Q2" s="12">
        <v>6</v>
      </c>
      <c r="R2" s="12" t="s">
        <v>0</v>
      </c>
      <c r="S2" s="13" t="s">
        <v>5</v>
      </c>
      <c r="T2" s="14">
        <f>+SUMPRODUCT(C25:C39,G25:G39)</f>
        <v>57.11242184882854</v>
      </c>
      <c r="U2" s="15"/>
      <c r="V2" s="14">
        <f>+SUMPRODUCT(C25:C39,I25:I39)</f>
        <v>17.856008627096063</v>
      </c>
      <c r="W2" s="16"/>
      <c r="X2" s="14">
        <f>+SUMPRODUCT(C25:C39,E25:E39)</f>
        <v>4.00224</v>
      </c>
      <c r="Y2" s="16"/>
      <c r="Z2" s="16"/>
    </row>
    <row r="3" spans="1:26" s="12" customFormat="1" ht="12.75" customHeight="1">
      <c r="A3" s="203" t="str">
        <f>IF($K$3="Vietnam","Tên công trình:","Project:")</f>
        <v>Project:</v>
      </c>
      <c r="B3" s="11"/>
      <c r="C3" s="11"/>
      <c r="D3" s="23">
        <f>'Static part-Y'!C3</f>
        <v>0</v>
      </c>
      <c r="E3" s="23"/>
      <c r="F3" s="10"/>
      <c r="G3" s="10"/>
      <c r="H3" s="9"/>
      <c r="I3" s="271" t="str">
        <f>IF($K$3="Vietnam","Ngôn ngữ:","Language:")</f>
        <v>Language:</v>
      </c>
      <c r="J3" s="271"/>
      <c r="K3" s="57" t="s">
        <v>65</v>
      </c>
      <c r="L3" s="20"/>
      <c r="Q3" s="12">
        <v>7</v>
      </c>
      <c r="R3" s="12" t="s">
        <v>1</v>
      </c>
      <c r="S3" s="13" t="s">
        <v>6</v>
      </c>
      <c r="T3" s="14">
        <f>+SUMPRODUCT(C25:C39,G25:G39,G25:G39)</f>
        <v>9.10205730908234</v>
      </c>
      <c r="U3" s="15"/>
      <c r="V3" s="14">
        <f>+SUMPRODUCT(C25:C39,I25:I39,I25:I39)</f>
        <v>0.8866451630383986</v>
      </c>
      <c r="W3" s="16"/>
      <c r="X3" s="14">
        <f>+SUMPRODUCT(C25:C39,E25:E39,E25:E39)</f>
        <v>0.048677556</v>
      </c>
      <c r="Y3" s="16"/>
      <c r="Z3" s="16"/>
    </row>
    <row r="4" spans="1:24" s="12" customFormat="1" ht="12.75" customHeight="1">
      <c r="A4" s="203" t="str">
        <f>IF($K$3="Vietnam","Người thực hiện:","Computed by")</f>
        <v>Computed by</v>
      </c>
      <c r="B4" s="11"/>
      <c r="C4" s="11"/>
      <c r="D4" s="101">
        <f>'Static part-Y'!C4</f>
        <v>0</v>
      </c>
      <c r="E4" s="23"/>
      <c r="F4" s="10"/>
      <c r="G4" s="17"/>
      <c r="H4" s="9"/>
      <c r="I4" s="11"/>
      <c r="J4" s="11"/>
      <c r="K4" s="184"/>
      <c r="L4" s="20"/>
      <c r="Q4" s="12">
        <v>8</v>
      </c>
      <c r="R4" s="12" t="s">
        <v>2</v>
      </c>
      <c r="U4" s="18"/>
      <c r="V4" s="18"/>
      <c r="W4" s="18"/>
      <c r="X4" s="18"/>
    </row>
    <row r="5" spans="1:24" s="12" customFormat="1" ht="12" customHeight="1">
      <c r="A5" s="54" t="s">
        <v>53</v>
      </c>
      <c r="B5" s="23"/>
      <c r="C5" s="11"/>
      <c r="D5" s="204" t="s">
        <v>39</v>
      </c>
      <c r="E5" s="23"/>
      <c r="F5" s="10"/>
      <c r="G5" s="17"/>
      <c r="H5" s="9"/>
      <c r="I5" s="23"/>
      <c r="J5" s="23"/>
      <c r="K5" s="184"/>
      <c r="L5" s="20"/>
      <c r="Q5" s="12">
        <v>9</v>
      </c>
      <c r="U5" s="19"/>
      <c r="V5" s="19"/>
      <c r="W5" s="19"/>
      <c r="X5" s="19"/>
    </row>
    <row r="6" spans="1:24" s="12" customFormat="1" ht="6.75" customHeight="1" hidden="1">
      <c r="A6" s="54"/>
      <c r="B6" s="23"/>
      <c r="C6" s="11"/>
      <c r="D6" s="23"/>
      <c r="E6" s="23"/>
      <c r="F6" s="23"/>
      <c r="G6" s="24"/>
      <c r="H6" s="11"/>
      <c r="I6" s="23"/>
      <c r="J6" s="23"/>
      <c r="K6" s="184"/>
      <c r="L6" s="20"/>
      <c r="U6" s="19"/>
      <c r="V6" s="19"/>
      <c r="W6" s="19"/>
      <c r="X6" s="19"/>
    </row>
    <row r="7" spans="1:12" s="12" customFormat="1" ht="12.75" customHeight="1">
      <c r="A7" s="22" t="str">
        <f>IF($K$3="Vietnam","1. Số liệu tính toán","1. Input data")</f>
        <v>1. Input data</v>
      </c>
      <c r="B7" s="23"/>
      <c r="C7" s="23"/>
      <c r="D7" s="23"/>
      <c r="E7" s="23"/>
      <c r="F7" s="23"/>
      <c r="G7" s="24"/>
      <c r="H7" s="11"/>
      <c r="I7" s="23"/>
      <c r="J7" s="23"/>
      <c r="K7" s="184"/>
      <c r="L7" s="20"/>
    </row>
    <row r="8" spans="1:18" s="12" customFormat="1" ht="12.75" customHeight="1">
      <c r="A8" s="25" t="str">
        <f>'Dynamic- X1'!A8</f>
        <v>Adjustment factor of wind load according to time, b:</v>
      </c>
      <c r="B8" s="11"/>
      <c r="C8" s="11"/>
      <c r="D8" s="24"/>
      <c r="E8" s="23"/>
      <c r="F8" s="11"/>
      <c r="G8" s="26">
        <v>1</v>
      </c>
      <c r="H8" s="11"/>
      <c r="I8" s="27"/>
      <c r="J8" s="11"/>
      <c r="K8" s="184"/>
      <c r="L8" s="20"/>
      <c r="Q8" s="150" t="s">
        <v>90</v>
      </c>
      <c r="R8" s="109">
        <f>SUMPRODUCT(E25:E39,I25:I39)/SUMPRODUCT(E25:E39,E25:E39,D25:D39)</f>
        <v>0.008013614535120934</v>
      </c>
    </row>
    <row r="9" spans="1:12" s="12" customFormat="1" ht="12.75" customHeight="1">
      <c r="A9" s="25" t="s">
        <v>96</v>
      </c>
      <c r="B9" s="11"/>
      <c r="C9" s="11"/>
      <c r="D9" s="24"/>
      <c r="E9" s="23"/>
      <c r="F9" s="11"/>
      <c r="G9" s="26">
        <v>1.2</v>
      </c>
      <c r="H9" s="11"/>
      <c r="I9" s="29"/>
      <c r="J9" s="11"/>
      <c r="K9" s="184"/>
      <c r="L9" s="20"/>
    </row>
    <row r="10" spans="1:12" s="12" customFormat="1" ht="12.75" customHeight="1">
      <c r="A10" s="25" t="s">
        <v>94</v>
      </c>
      <c r="B10" s="11"/>
      <c r="C10" s="11"/>
      <c r="D10" s="24"/>
      <c r="E10" s="23"/>
      <c r="F10" s="11"/>
      <c r="G10" s="138">
        <v>1.7</v>
      </c>
      <c r="H10" s="11"/>
      <c r="I10" s="29"/>
      <c r="J10" s="11"/>
      <c r="K10" s="184"/>
      <c r="L10" s="20"/>
    </row>
    <row r="11" spans="1:12" s="12" customFormat="1" ht="12.75" customHeight="1">
      <c r="A11" s="25" t="s">
        <v>95</v>
      </c>
      <c r="B11" s="11"/>
      <c r="C11" s="11"/>
      <c r="D11" s="24"/>
      <c r="E11" s="23"/>
      <c r="F11" s="11"/>
      <c r="G11" s="277">
        <f>SQRT($G$9*9.81*'Static part-Y'!$I$11*10^3)/(940*$F$17)</f>
        <v>0.07215992167757847</v>
      </c>
      <c r="H11" s="277">
        <f>SQRT($G$9*9.81*'[1]Start'!$G$4*10^3)/(940*$F$17)</f>
        <v>0.07720026828788318</v>
      </c>
      <c r="I11" s="24"/>
      <c r="J11" s="11"/>
      <c r="K11" s="184"/>
      <c r="L11" s="20"/>
    </row>
    <row r="12" spans="1:12" s="12" customFormat="1" ht="12.75" customHeight="1">
      <c r="A12" s="25" t="s">
        <v>93</v>
      </c>
      <c r="B12" s="11"/>
      <c r="C12" s="11"/>
      <c r="D12" s="24"/>
      <c r="E12" s="11"/>
      <c r="F12" s="11"/>
      <c r="G12" s="108">
        <f>+'Bảng tra K'!C52</f>
        <v>0.7090625</v>
      </c>
      <c r="H12" s="11"/>
      <c r="I12" s="24"/>
      <c r="J12" s="23"/>
      <c r="K12" s="184"/>
      <c r="L12" s="20"/>
    </row>
    <row r="13" spans="1:12" s="12" customFormat="1" ht="4.5" customHeight="1" hidden="1">
      <c r="A13" s="25"/>
      <c r="B13" s="11"/>
      <c r="C13" s="11"/>
      <c r="D13" s="24"/>
      <c r="E13" s="11"/>
      <c r="F13" s="11"/>
      <c r="G13" s="26"/>
      <c r="H13" s="11"/>
      <c r="I13" s="24"/>
      <c r="J13" s="23"/>
      <c r="K13" s="184"/>
      <c r="L13" s="20"/>
    </row>
    <row r="14" spans="1:12" s="12" customFormat="1" ht="12.75" customHeight="1">
      <c r="A14" s="22" t="s">
        <v>66</v>
      </c>
      <c r="B14" s="24"/>
      <c r="C14" s="11"/>
      <c r="D14" s="11"/>
      <c r="E14" s="26"/>
      <c r="F14" s="30"/>
      <c r="G14" s="24"/>
      <c r="H14" s="23"/>
      <c r="I14" s="11"/>
      <c r="J14" s="11"/>
      <c r="K14" s="184"/>
      <c r="L14" s="20"/>
    </row>
    <row r="15" spans="1:12" s="12" customFormat="1" ht="6.75" customHeight="1">
      <c r="A15" s="22"/>
      <c r="B15" s="24"/>
      <c r="C15" s="11"/>
      <c r="D15" s="11"/>
      <c r="E15" s="26"/>
      <c r="F15" s="30"/>
      <c r="G15" s="24"/>
      <c r="H15" s="23"/>
      <c r="I15" s="11"/>
      <c r="J15" s="11"/>
      <c r="K15" s="184"/>
      <c r="L15" s="20"/>
    </row>
    <row r="16" spans="1:12" s="12" customFormat="1" ht="12.75" customHeight="1">
      <c r="A16" s="31"/>
      <c r="B16" s="11"/>
      <c r="C16" s="273" t="s">
        <v>85</v>
      </c>
      <c r="D16" s="273"/>
      <c r="E16" s="32" t="s">
        <v>87</v>
      </c>
      <c r="F16" s="33" t="s">
        <v>88</v>
      </c>
      <c r="G16" s="59"/>
      <c r="H16" s="11"/>
      <c r="I16" s="34"/>
      <c r="J16" s="11"/>
      <c r="K16" s="184"/>
      <c r="L16" s="20"/>
    </row>
    <row r="17" spans="1:12" s="12" customFormat="1" ht="12.75" customHeight="1">
      <c r="A17" s="31"/>
      <c r="B17" s="11"/>
      <c r="C17" s="275" t="s">
        <v>101</v>
      </c>
      <c r="D17" s="275"/>
      <c r="E17" s="191">
        <f>'Dynamic- X1'!E17</f>
        <v>2.17</v>
      </c>
      <c r="F17" s="166">
        <f>1/E17</f>
        <v>0.4608294930875576</v>
      </c>
      <c r="G17" s="11"/>
      <c r="H17" s="11"/>
      <c r="I17" s="110"/>
      <c r="J17" s="110"/>
      <c r="K17" s="185"/>
      <c r="L17" s="20"/>
    </row>
    <row r="18" spans="1:12" s="12" customFormat="1" ht="12.75" customHeight="1">
      <c r="A18" s="31"/>
      <c r="B18" s="11"/>
      <c r="C18" s="273" t="s">
        <v>118</v>
      </c>
      <c r="D18" s="273"/>
      <c r="E18" s="35">
        <f>'Dynamic- X1'!E18</f>
        <v>1.57</v>
      </c>
      <c r="F18" s="58">
        <f>1/E18</f>
        <v>0.6369426751592356</v>
      </c>
      <c r="G18" s="24" t="s">
        <v>40</v>
      </c>
      <c r="H18" s="111" t="str">
        <f>IF(F17&gt;F20,"Chỉ tính đến tp xung vtốc gió",IF(AND(F17&lt;F20,F18&gt;F20),"Chỉ tính đến dạng dao động 1",IF(AND(F17&lt;F20,F18&lt;F20,F19&gt;F20),"have to consider two vibration modes:1 &amp; 2",IF(AND(F17&lt;F20,F18&lt;F20,F19&lt;F20),"Tính đến cả ba dạng dao động","xét đến n dạng dao động có f&lt;fL"))))</f>
        <v>Tính đến cả ba dạng dao động</v>
      </c>
      <c r="I18" s="110"/>
      <c r="J18" s="110"/>
      <c r="K18" s="185"/>
      <c r="L18" s="20"/>
    </row>
    <row r="19" spans="1:12" s="12" customFormat="1" ht="12.75" customHeight="1">
      <c r="A19" s="31"/>
      <c r="B19" s="11"/>
      <c r="C19" s="273" t="s">
        <v>120</v>
      </c>
      <c r="D19" s="273"/>
      <c r="E19" s="35">
        <f>'Dynamic- X1'!E19</f>
        <v>0.89</v>
      </c>
      <c r="F19" s="58">
        <f>1/E19</f>
        <v>1.1235955056179776</v>
      </c>
      <c r="G19" s="11"/>
      <c r="H19" s="11"/>
      <c r="I19" s="34"/>
      <c r="J19" s="11"/>
      <c r="K19" s="184"/>
      <c r="L19" s="20"/>
    </row>
    <row r="20" spans="1:12" s="12" customFormat="1" ht="12.75" customHeight="1">
      <c r="A20" s="31"/>
      <c r="B20" s="11"/>
      <c r="C20" s="273" t="s">
        <v>86</v>
      </c>
      <c r="D20" s="273"/>
      <c r="E20" s="60" t="s">
        <v>10</v>
      </c>
      <c r="F20" s="58">
        <v>1.3</v>
      </c>
      <c r="G20" s="11"/>
      <c r="H20" s="48"/>
      <c r="I20" s="34"/>
      <c r="J20" s="11"/>
      <c r="K20" s="184"/>
      <c r="L20" s="20"/>
    </row>
    <row r="21" spans="1:12" s="12" customFormat="1" ht="5.25" customHeight="1">
      <c r="A21" s="31"/>
      <c r="B21" s="11"/>
      <c r="C21" s="24"/>
      <c r="D21" s="24"/>
      <c r="E21" s="57"/>
      <c r="F21" s="48"/>
      <c r="G21" s="11"/>
      <c r="H21" s="48"/>
      <c r="I21" s="34"/>
      <c r="J21" s="11"/>
      <c r="K21" s="184"/>
      <c r="L21" s="20"/>
    </row>
    <row r="22" spans="1:12" s="12" customFormat="1" ht="12.75" customHeight="1">
      <c r="A22" s="22" t="s">
        <v>112</v>
      </c>
      <c r="B22" s="23"/>
      <c r="C22" s="23"/>
      <c r="D22" s="23"/>
      <c r="E22" s="11"/>
      <c r="F22" s="36"/>
      <c r="G22" s="37"/>
      <c r="H22" s="11"/>
      <c r="I22" s="11"/>
      <c r="J22" s="11"/>
      <c r="K22" s="184"/>
      <c r="L22" s="20"/>
    </row>
    <row r="23" spans="1:12" s="12" customFormat="1" ht="5.25" customHeight="1">
      <c r="A23" s="22"/>
      <c r="B23" s="23"/>
      <c r="C23" s="23"/>
      <c r="D23" s="23"/>
      <c r="E23" s="11"/>
      <c r="F23" s="36"/>
      <c r="G23" s="37"/>
      <c r="H23" s="11"/>
      <c r="I23" s="11"/>
      <c r="J23" s="11"/>
      <c r="K23" s="184"/>
      <c r="L23" s="20"/>
    </row>
    <row r="24" spans="1:12" s="12" customFormat="1" ht="62.25" customHeight="1">
      <c r="A24" s="106" t="s">
        <v>70</v>
      </c>
      <c r="B24" s="33" t="s">
        <v>84</v>
      </c>
      <c r="C24" s="33" t="s">
        <v>71</v>
      </c>
      <c r="D24" s="107" t="s">
        <v>72</v>
      </c>
      <c r="E24" s="107" t="s">
        <v>104</v>
      </c>
      <c r="F24" s="107" t="s">
        <v>89</v>
      </c>
      <c r="G24" s="107" t="s">
        <v>92</v>
      </c>
      <c r="H24" s="107" t="s">
        <v>91</v>
      </c>
      <c r="I24" s="107" t="s">
        <v>100</v>
      </c>
      <c r="J24" s="107" t="s">
        <v>98</v>
      </c>
      <c r="K24" s="186" t="s">
        <v>99</v>
      </c>
      <c r="L24" s="119" t="s">
        <v>83</v>
      </c>
    </row>
    <row r="25" spans="1:12" s="12" customFormat="1" ht="12.75" customHeight="1">
      <c r="A25" s="38">
        <f>+'Static part-Y'!A17</f>
        <v>1</v>
      </c>
      <c r="B25" s="39">
        <f>+'Static part-Y'!B17</f>
        <v>1.2</v>
      </c>
      <c r="C25" s="40">
        <f>+'Static part-Y'!C17</f>
        <v>1.2</v>
      </c>
      <c r="D25" s="206">
        <f>'Dynamic- X1'!D25</f>
        <v>750</v>
      </c>
      <c r="E25" s="250">
        <v>0</v>
      </c>
      <c r="F25" s="170">
        <f>+'Static part-Y'!H17</f>
        <v>77.49999999999999</v>
      </c>
      <c r="G25" s="112">
        <f>+'Static part-Y'!G17</f>
        <v>0.10147073776179422</v>
      </c>
      <c r="H25" s="112">
        <f>IF(C25&gt;0,0.486*(C25/10)^-0.09,"---")</f>
        <v>0.5881795992477002</v>
      </c>
      <c r="I25" s="112">
        <f>IF(G25="---","---",G25*H25*$G$12)</f>
        <v>0.04231898985993634</v>
      </c>
      <c r="J25" s="41">
        <f>IF(G25="---","---",D25*$G$10*$R$8*E25)</f>
        <v>0</v>
      </c>
      <c r="K25" s="167">
        <f>IF(G25="---","---",F25*J25)</f>
        <v>0</v>
      </c>
      <c r="L25" s="153" t="str">
        <f>'Dynamic-X2'!L25</f>
        <v>D</v>
      </c>
    </row>
    <row r="26" spans="1:12" s="12" customFormat="1" ht="12.75" customHeight="1">
      <c r="A26" s="38">
        <f>+'Static part-Y'!A18</f>
        <v>2</v>
      </c>
      <c r="B26" s="39">
        <f>+'Static part-Y'!B18</f>
        <v>3.8</v>
      </c>
      <c r="C26" s="40">
        <f>+'Static part-Y'!C18</f>
        <v>5</v>
      </c>
      <c r="D26" s="206">
        <f>'Dynamic- X1'!D26</f>
        <v>515</v>
      </c>
      <c r="E26" s="250">
        <v>0.0012</v>
      </c>
      <c r="F26" s="170">
        <f>+'Static part-Y'!H18</f>
        <v>87.5</v>
      </c>
      <c r="G26" s="112">
        <f>+'Static part-Y'!G18</f>
        <v>0.12391139438738087</v>
      </c>
      <c r="H26" s="112">
        <f aca="true" t="shared" si="0" ref="H26:H39">IF(C26&gt;0,0.486*(C26/10)^-0.09,"---")</f>
        <v>0.5172839086723329</v>
      </c>
      <c r="I26" s="112">
        <f aca="true" t="shared" si="1" ref="I26:I39">IF(G26="---","---",G26*H26*$G$12)</f>
        <v>0.04544904171183114</v>
      </c>
      <c r="J26" s="41">
        <f aca="true" t="shared" si="2" ref="J26:J39">IF(G26="---","---",D26*$G$10*$R$8*E26)</f>
        <v>0.008419103430598053</v>
      </c>
      <c r="K26" s="167">
        <f aca="true" t="shared" si="3" ref="K26:K39">IF(G26="---","---",F26*J26)</f>
        <v>0.7366715501773297</v>
      </c>
      <c r="L26" s="153" t="str">
        <f>'Dynamic-X2'!L26</f>
        <v>D</v>
      </c>
    </row>
    <row r="27" spans="1:12" s="12" customFormat="1" ht="12.75" customHeight="1">
      <c r="A27" s="38">
        <f>+'Static part-Y'!A19</f>
        <v>3</v>
      </c>
      <c r="B27" s="39">
        <f>+'Static part-Y'!B19</f>
        <v>3.2</v>
      </c>
      <c r="C27" s="40">
        <f>+'Static part-Y'!C19</f>
        <v>8.2</v>
      </c>
      <c r="D27" s="206">
        <f>'Dynamic- X1'!D27</f>
        <v>737</v>
      </c>
      <c r="E27" s="250">
        <v>0.0023</v>
      </c>
      <c r="F27" s="170">
        <f>+'Static part-Y'!H19</f>
        <v>80</v>
      </c>
      <c r="G27" s="112">
        <f>+'Static part-Y'!G19</f>
        <v>0.13279734211520688</v>
      </c>
      <c r="H27" s="112">
        <f t="shared" si="0"/>
        <v>0.494758224744355</v>
      </c>
      <c r="I27" s="112">
        <f t="shared" si="1"/>
        <v>0.046587233671180395</v>
      </c>
      <c r="J27" s="41">
        <f t="shared" si="2"/>
        <v>0.02309259259742194</v>
      </c>
      <c r="K27" s="167">
        <f t="shared" si="3"/>
        <v>1.8474074077937552</v>
      </c>
      <c r="L27" s="153" t="str">
        <f>'Dynamic-X2'!L27</f>
        <v>D</v>
      </c>
    </row>
    <row r="28" spans="1:12" s="12" customFormat="1" ht="12.75" customHeight="1">
      <c r="A28" s="38">
        <f>+'Static part-Y'!A20</f>
        <v>4</v>
      </c>
      <c r="B28" s="39">
        <f>+'Static part-Y'!B20</f>
        <v>3.2</v>
      </c>
      <c r="C28" s="40">
        <f>+'Static part-Y'!C20</f>
        <v>11.399999999999999</v>
      </c>
      <c r="D28" s="206">
        <f>'Dynamic- X1'!D28</f>
        <v>780</v>
      </c>
      <c r="E28" s="250">
        <v>0.0037</v>
      </c>
      <c r="F28" s="170">
        <f>+'Static part-Y'!H20</f>
        <v>90</v>
      </c>
      <c r="G28" s="112">
        <f>+'Static part-Y'!G20</f>
        <v>0.139066371337922</v>
      </c>
      <c r="H28" s="112">
        <f t="shared" si="0"/>
        <v>0.4803024839322135</v>
      </c>
      <c r="I28" s="112">
        <f t="shared" si="1"/>
        <v>0.047361066442019914</v>
      </c>
      <c r="J28" s="41">
        <f t="shared" si="2"/>
        <v>0.03931639563221033</v>
      </c>
      <c r="K28" s="167">
        <f t="shared" si="3"/>
        <v>3.53847560689893</v>
      </c>
      <c r="L28" s="153" t="str">
        <f>'Dynamic-X2'!L28</f>
        <v>D</v>
      </c>
    </row>
    <row r="29" spans="1:12" s="12" customFormat="1" ht="12.75" customHeight="1">
      <c r="A29" s="38">
        <f>+'Static part-Y'!A21</f>
        <v>5</v>
      </c>
      <c r="B29" s="39">
        <f>+'Static part-Y'!B21</f>
        <v>4</v>
      </c>
      <c r="C29" s="40">
        <f>+'Static part-Y'!C21</f>
        <v>15.399999999999999</v>
      </c>
      <c r="D29" s="206">
        <f>'Dynamic- X1'!D29</f>
        <v>688</v>
      </c>
      <c r="E29" s="250">
        <v>0.0055</v>
      </c>
      <c r="F29" s="170">
        <f>+'Static part-Y'!H21</f>
        <v>87.5</v>
      </c>
      <c r="G29" s="112">
        <f>+'Static part-Y'!G21</f>
        <v>0.14504686431439412</v>
      </c>
      <c r="H29" s="112">
        <f t="shared" si="0"/>
        <v>0.4674760915830606</v>
      </c>
      <c r="I29" s="112">
        <f t="shared" si="1"/>
        <v>0.0480786502006113</v>
      </c>
      <c r="J29" s="41">
        <f t="shared" si="2"/>
        <v>0.05154997958152594</v>
      </c>
      <c r="K29" s="167">
        <f t="shared" si="3"/>
        <v>4.51062321338352</v>
      </c>
      <c r="L29" s="153" t="str">
        <f>'Dynamic-X2'!L29</f>
        <v>D</v>
      </c>
    </row>
    <row r="30" spans="1:12" s="12" customFormat="1" ht="12.75" customHeight="1">
      <c r="A30" s="38">
        <f>+'Static part-Y'!A22</f>
        <v>6</v>
      </c>
      <c r="B30" s="39">
        <f>+'Static part-Y'!B22</f>
        <v>3</v>
      </c>
      <c r="C30" s="40">
        <f>+'Static part-Y'!C22</f>
        <v>18.4</v>
      </c>
      <c r="D30" s="206">
        <f>'Dynamic- X1'!D30</f>
        <v>617</v>
      </c>
      <c r="E30" s="250">
        <v>0.0069</v>
      </c>
      <c r="F30" s="170">
        <f>+'Static part-Y'!H22</f>
        <v>75</v>
      </c>
      <c r="G30" s="112">
        <f>+'Static part-Y'!G22</f>
        <v>0.14870649545176287</v>
      </c>
      <c r="H30" s="112">
        <f t="shared" si="0"/>
        <v>0.4600474896180824</v>
      </c>
      <c r="I30" s="112">
        <f t="shared" si="1"/>
        <v>0.048508419148162944</v>
      </c>
      <c r="J30" s="41">
        <f t="shared" si="2"/>
        <v>0.05799781397262959</v>
      </c>
      <c r="K30" s="167">
        <f t="shared" si="3"/>
        <v>4.349836047947219</v>
      </c>
      <c r="L30" s="153" t="str">
        <f>'Dynamic-X2'!L30</f>
        <v>D</v>
      </c>
    </row>
    <row r="31" spans="1:12" s="12" customFormat="1" ht="12.75" customHeight="1">
      <c r="A31" s="38">
        <f>+'Static part-Y'!A23</f>
        <v>7</v>
      </c>
      <c r="B31" s="39">
        <f>+'Static part-Y'!B23</f>
        <v>3</v>
      </c>
      <c r="C31" s="40">
        <f>+'Static part-Y'!C23</f>
        <v>21.4</v>
      </c>
      <c r="D31" s="206">
        <f>'Dynamic- X1'!D31</f>
        <v>618</v>
      </c>
      <c r="E31" s="250">
        <v>0.0083</v>
      </c>
      <c r="F31" s="170">
        <f>+'Static part-Y'!H23</f>
        <v>75</v>
      </c>
      <c r="G31" s="112">
        <f>+'Static part-Y'!G23</f>
        <v>0.15188447061893495</v>
      </c>
      <c r="H31" s="112">
        <f t="shared" si="0"/>
        <v>0.4538360907612247</v>
      </c>
      <c r="I31" s="112">
        <f t="shared" si="1"/>
        <v>0.04887614213056176</v>
      </c>
      <c r="J31" s="41">
        <f t="shared" si="2"/>
        <v>0.06987855847396383</v>
      </c>
      <c r="K31" s="167">
        <f t="shared" si="3"/>
        <v>5.2408918855472875</v>
      </c>
      <c r="L31" s="153" t="str">
        <f>'Dynamic-X2'!L31</f>
        <v>D</v>
      </c>
    </row>
    <row r="32" spans="1:12" s="12" customFormat="1" ht="12.75" customHeight="1">
      <c r="A32" s="38">
        <f>+'Static part-Y'!A24</f>
        <v>8</v>
      </c>
      <c r="B32" s="39">
        <f>+'Static part-Y'!B24</f>
        <v>3</v>
      </c>
      <c r="C32" s="40">
        <f>+'Static part-Y'!C24</f>
        <v>24.4</v>
      </c>
      <c r="D32" s="206">
        <f>'Dynamic- X1'!D32</f>
        <v>618</v>
      </c>
      <c r="E32" s="250">
        <v>0.0096</v>
      </c>
      <c r="F32" s="170">
        <f>+'Static part-Y'!H24</f>
        <v>75</v>
      </c>
      <c r="G32" s="112">
        <f>+'Static part-Y'!G24</f>
        <v>0.15469989511256305</v>
      </c>
      <c r="H32" s="112">
        <f t="shared" si="0"/>
        <v>0.44850902340135607</v>
      </c>
      <c r="I32" s="112">
        <f t="shared" si="1"/>
        <v>0.04919780442263439</v>
      </c>
      <c r="J32" s="41">
        <f t="shared" si="2"/>
        <v>0.0808233929337413</v>
      </c>
      <c r="K32" s="167">
        <f t="shared" si="3"/>
        <v>6.061754470030597</v>
      </c>
      <c r="L32" s="153" t="str">
        <f>'Dynamic-X2'!L32</f>
        <v>D</v>
      </c>
    </row>
    <row r="33" spans="1:12" s="12" customFormat="1" ht="12.75" customHeight="1">
      <c r="A33" s="38">
        <f>+'Static part-Y'!A25</f>
        <v>9</v>
      </c>
      <c r="B33" s="39">
        <f>+'Static part-Y'!B25</f>
        <v>3</v>
      </c>
      <c r="C33" s="40">
        <f>+'Static part-Y'!C25</f>
        <v>27.4</v>
      </c>
      <c r="D33" s="206">
        <f>'Dynamic- X1'!D33</f>
        <v>618</v>
      </c>
      <c r="E33" s="250">
        <v>0.0108</v>
      </c>
      <c r="F33" s="170">
        <f>+'Static part-Y'!H25</f>
        <v>75</v>
      </c>
      <c r="G33" s="112">
        <f>+'Static part-Y'!G25</f>
        <v>0.15723184926279016</v>
      </c>
      <c r="H33" s="112">
        <f t="shared" si="0"/>
        <v>0.4438525492820627</v>
      </c>
      <c r="I33" s="112">
        <f t="shared" si="1"/>
        <v>0.04948388153546853</v>
      </c>
      <c r="J33" s="41">
        <f t="shared" si="2"/>
        <v>0.09092631705045898</v>
      </c>
      <c r="K33" s="167">
        <f t="shared" si="3"/>
        <v>6.819473778784423</v>
      </c>
      <c r="L33" s="153" t="str">
        <f>'Dynamic-X2'!L33</f>
        <v>D</v>
      </c>
    </row>
    <row r="34" spans="1:12" s="12" customFormat="1" ht="12.75" customHeight="1">
      <c r="A34" s="38">
        <f>+'Static part-Y'!A26</f>
        <v>10</v>
      </c>
      <c r="B34" s="39">
        <f>+'Static part-Y'!B26</f>
        <v>3</v>
      </c>
      <c r="C34" s="40">
        <f>+'Static part-Y'!C26</f>
        <v>30.4</v>
      </c>
      <c r="D34" s="206">
        <f>'Dynamic- X1'!D34</f>
        <v>612</v>
      </c>
      <c r="E34" s="250">
        <v>0.0118</v>
      </c>
      <c r="F34" s="170">
        <f>+'Static part-Y'!H26</f>
        <v>75</v>
      </c>
      <c r="G34" s="112">
        <f>+'Static part-Y'!G26</f>
        <v>0.15953564968210496</v>
      </c>
      <c r="H34" s="112">
        <f t="shared" si="0"/>
        <v>0.43972144527503815</v>
      </c>
      <c r="I34" s="112">
        <f t="shared" si="1"/>
        <v>0.04974161818673833</v>
      </c>
      <c r="J34" s="41">
        <f t="shared" si="2"/>
        <v>0.09838090183560985</v>
      </c>
      <c r="K34" s="167">
        <f t="shared" si="3"/>
        <v>7.378567637670739</v>
      </c>
      <c r="L34" s="153" t="str">
        <f>'Dynamic-X2'!L34</f>
        <v>D</v>
      </c>
    </row>
    <row r="35" spans="1:12" s="12" customFormat="1" ht="12.75" customHeight="1">
      <c r="A35" s="38">
        <f>+'Static part-Y'!A27</f>
        <v>11</v>
      </c>
      <c r="B35" s="39">
        <f>+'Static part-Y'!B27</f>
        <v>3</v>
      </c>
      <c r="C35" s="40">
        <f>+'Static part-Y'!C27</f>
        <v>33.4</v>
      </c>
      <c r="D35" s="206">
        <f>'Dynamic- X1'!D35</f>
        <v>612</v>
      </c>
      <c r="E35" s="250">
        <v>0.0128</v>
      </c>
      <c r="F35" s="170">
        <f>+'Static part-Y'!H27</f>
        <v>75</v>
      </c>
      <c r="G35" s="112">
        <f>+'Static part-Y'!G27</f>
        <v>0.16165157817687237</v>
      </c>
      <c r="H35" s="112">
        <f t="shared" si="0"/>
        <v>0.43601264763764325</v>
      </c>
      <c r="I35" s="112">
        <f t="shared" si="1"/>
        <v>0.04997623714363966</v>
      </c>
      <c r="J35" s="41">
        <f t="shared" si="2"/>
        <v>0.10671826639794968</v>
      </c>
      <c r="K35" s="167">
        <f t="shared" si="3"/>
        <v>8.003869979846225</v>
      </c>
      <c r="L35" s="153" t="str">
        <f>'Dynamic-X2'!L35</f>
        <v>D</v>
      </c>
    </row>
    <row r="36" spans="1:12" s="12" customFormat="1" ht="12.75" customHeight="1">
      <c r="A36" s="38">
        <f>+'Static part-Y'!A28</f>
        <v>12</v>
      </c>
      <c r="B36" s="39">
        <f>+'Static part-Y'!B28</f>
        <v>3</v>
      </c>
      <c r="C36" s="40">
        <f>+'Static part-Y'!C28</f>
        <v>36.4</v>
      </c>
      <c r="D36" s="206">
        <f>'Dynamic- X1'!D36</f>
        <v>612</v>
      </c>
      <c r="E36" s="250">
        <v>0.0135</v>
      </c>
      <c r="F36" s="170">
        <f>+'Static part-Y'!H28</f>
        <v>75</v>
      </c>
      <c r="G36" s="112">
        <f>+'Static part-Y'!G28</f>
        <v>0.1636099218773056</v>
      </c>
      <c r="H36" s="112">
        <f t="shared" si="0"/>
        <v>0.43265043502952</v>
      </c>
      <c r="I36" s="112">
        <f t="shared" si="1"/>
        <v>0.050191629966623914</v>
      </c>
      <c r="J36" s="41">
        <f t="shared" si="2"/>
        <v>0.11255442159158754</v>
      </c>
      <c r="K36" s="167">
        <f t="shared" si="3"/>
        <v>8.441581619369066</v>
      </c>
      <c r="L36" s="153" t="str">
        <f>'Dynamic-X2'!L36</f>
        <v>D</v>
      </c>
    </row>
    <row r="37" spans="1:12" s="12" customFormat="1" ht="12.75" customHeight="1">
      <c r="A37" s="38">
        <f>+'Static part-Y'!A29</f>
        <v>13</v>
      </c>
      <c r="B37" s="39">
        <f>+'Static part-Y'!B29</f>
        <v>3</v>
      </c>
      <c r="C37" s="40">
        <f>+'Static part-Y'!C29</f>
        <v>39.4</v>
      </c>
      <c r="D37" s="206">
        <f>'Dynamic- X1'!D37</f>
        <v>612</v>
      </c>
      <c r="E37" s="250">
        <v>0.0141</v>
      </c>
      <c r="F37" s="170">
        <f>+'Static part-Y'!H29</f>
        <v>75</v>
      </c>
      <c r="G37" s="112">
        <f>+'Static part-Y'!G29</f>
        <v>0.1654340548572955</v>
      </c>
      <c r="H37" s="112">
        <f t="shared" si="0"/>
        <v>0.4295775821701121</v>
      </c>
      <c r="I37" s="112">
        <f t="shared" si="1"/>
        <v>0.05039077543016492</v>
      </c>
      <c r="J37" s="41">
        <f t="shared" si="2"/>
        <v>0.11755684032899144</v>
      </c>
      <c r="K37" s="167">
        <f t="shared" si="3"/>
        <v>8.816763024674358</v>
      </c>
      <c r="L37" s="153" t="str">
        <f>'Dynamic-X2'!L37</f>
        <v>D</v>
      </c>
    </row>
    <row r="38" spans="1:12" s="12" customFormat="1" ht="12.75" customHeight="1">
      <c r="A38" s="38">
        <f>+'Static part-Y'!A30</f>
        <v>14</v>
      </c>
      <c r="B38" s="39">
        <f>+'Static part-Y'!B30</f>
        <v>3</v>
      </c>
      <c r="C38" s="40">
        <f>+'Static part-Y'!C30</f>
        <v>42.4</v>
      </c>
      <c r="D38" s="206">
        <f>'Dynamic- X1'!D38</f>
        <v>506</v>
      </c>
      <c r="E38" s="250">
        <v>0.0142</v>
      </c>
      <c r="F38" s="170">
        <f>+'Static part-Y'!H30</f>
        <v>70</v>
      </c>
      <c r="G38" s="112">
        <f>+'Static part-Y'!G30</f>
        <v>0.16714241137818467</v>
      </c>
      <c r="H38" s="112">
        <f t="shared" si="0"/>
        <v>0.4267498156414775</v>
      </c>
      <c r="I38" s="112">
        <f t="shared" si="1"/>
        <v>0.05057600520780982</v>
      </c>
      <c r="J38" s="41">
        <f t="shared" si="2"/>
        <v>0.09788501936817659</v>
      </c>
      <c r="K38" s="167">
        <f t="shared" si="3"/>
        <v>6.8519513557723615</v>
      </c>
      <c r="L38" s="153" t="str">
        <f>'Dynamic-X2'!L38</f>
        <v>D</v>
      </c>
    </row>
    <row r="39" spans="1:12" s="12" customFormat="1" ht="12.75" customHeight="1">
      <c r="A39" s="38">
        <f>+'Static part-Y'!A31</f>
        <v>15</v>
      </c>
      <c r="B39" s="39">
        <f>+'Static part-Y'!B31</f>
        <v>2.6</v>
      </c>
      <c r="C39" s="40">
        <f>+'Static part-Y'!C31</f>
        <v>45</v>
      </c>
      <c r="D39" s="206">
        <f>'Dynamic- X1'!D39</f>
        <v>197</v>
      </c>
      <c r="E39" s="250">
        <v>0.0129</v>
      </c>
      <c r="F39" s="170">
        <f>+'Static part-Y'!H31</f>
        <v>32.5</v>
      </c>
      <c r="G39" s="112">
        <f>+'Static part-Y'!G31</f>
        <v>0.1685408560632055</v>
      </c>
      <c r="H39" s="112">
        <f t="shared" si="0"/>
        <v>0.4244701385108057</v>
      </c>
      <c r="I39" s="112">
        <f t="shared" si="1"/>
        <v>0.0507267286922083</v>
      </c>
      <c r="J39" s="41">
        <f t="shared" si="2"/>
        <v>0.03462049765077481</v>
      </c>
      <c r="K39" s="167">
        <f t="shared" si="3"/>
        <v>1.1251661736501812</v>
      </c>
      <c r="L39" s="153" t="str">
        <f>'Dynamic-X2'!L39</f>
        <v>D</v>
      </c>
    </row>
    <row r="40" spans="1:13" s="12" customFormat="1" ht="12.75">
      <c r="A40" s="53"/>
      <c r="B40" s="11"/>
      <c r="C40" s="55"/>
      <c r="D40" s="56"/>
      <c r="E40" s="190"/>
      <c r="F40" s="56"/>
      <c r="G40" s="57"/>
      <c r="H40" s="11"/>
      <c r="I40" s="57"/>
      <c r="J40" s="11"/>
      <c r="K40" s="57"/>
      <c r="L40" s="20"/>
      <c r="M40" s="16"/>
    </row>
    <row r="41" spans="1:13" s="12" customFormat="1" ht="12.75" customHeight="1">
      <c r="A41" s="22" t="s">
        <v>67</v>
      </c>
      <c r="B41" s="43"/>
      <c r="C41" s="43"/>
      <c r="D41" s="11"/>
      <c r="E41" s="11"/>
      <c r="F41" s="27"/>
      <c r="G41" s="44"/>
      <c r="H41" s="44"/>
      <c r="I41" s="44"/>
      <c r="J41" s="44"/>
      <c r="K41" s="184"/>
      <c r="L41" s="20"/>
      <c r="M41" s="16"/>
    </row>
    <row r="42" spans="1:12" s="12" customFormat="1" ht="12.75" customHeight="1">
      <c r="A42" s="100" t="s">
        <v>68</v>
      </c>
      <c r="B42" s="45"/>
      <c r="C42" s="23"/>
      <c r="D42" s="23"/>
      <c r="E42" s="23"/>
      <c r="F42" s="23"/>
      <c r="G42" s="101" t="s">
        <v>69</v>
      </c>
      <c r="H42" s="45"/>
      <c r="I42" s="23"/>
      <c r="J42" s="11"/>
      <c r="K42" s="184"/>
      <c r="L42" s="20"/>
    </row>
    <row r="43" spans="1:12" s="12" customFormat="1" ht="12.75" customHeight="1">
      <c r="A43" s="47"/>
      <c r="B43" s="114" t="s">
        <v>45</v>
      </c>
      <c r="C43" s="24">
        <f>+SUMPRODUCT(C25:C39,K25:K39)</f>
        <v>2143.033741068194</v>
      </c>
      <c r="D43" s="114" t="s">
        <v>7</v>
      </c>
      <c r="E43" s="11"/>
      <c r="F43" s="11"/>
      <c r="G43" s="46"/>
      <c r="H43" s="114" t="s">
        <v>46</v>
      </c>
      <c r="I43" s="48">
        <f>SUM(K25:K39)</f>
        <v>73.72303375154598</v>
      </c>
      <c r="J43" s="115" t="s">
        <v>8</v>
      </c>
      <c r="K43" s="184"/>
      <c r="L43" s="20"/>
    </row>
    <row r="44" spans="1:12" s="12" customFormat="1" ht="12.75" customHeight="1" thickBot="1">
      <c r="A44" s="49" t="s">
        <v>64</v>
      </c>
      <c r="B44" s="50"/>
      <c r="C44" s="50"/>
      <c r="D44" s="51"/>
      <c r="E44" s="51"/>
      <c r="F44" s="51"/>
      <c r="G44" s="50"/>
      <c r="H44" s="50" t="s">
        <v>64</v>
      </c>
      <c r="I44" s="50"/>
      <c r="J44" s="50"/>
      <c r="K44" s="187"/>
      <c r="L44" s="52"/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I3:J3"/>
    <mergeCell ref="J2:K2"/>
    <mergeCell ref="C20:D20"/>
    <mergeCell ref="G11:H11"/>
    <mergeCell ref="C16:D16"/>
    <mergeCell ref="C17:D17"/>
    <mergeCell ref="C18:D18"/>
    <mergeCell ref="C19:D19"/>
  </mergeCells>
  <dataValidations count="1">
    <dataValidation type="list" allowBlank="1" showInputMessage="1" showErrorMessage="1" sqref="D12:D13">
      <formula1>$Q$2:$Q$5</formula1>
    </dataValidation>
  </dataValidations>
  <printOptions verticalCentered="1"/>
  <pageMargins left="0.77" right="0.26" top="0.31" bottom="0.3" header="0.34" footer="0.3"/>
  <pageSetup blackAndWhite="1" horizontalDpi="600" verticalDpi="600" orientation="portrait" paperSize="9" scale="96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125" zoomScaleNormal="110" zoomScaleSheetLayoutView="125" zoomScalePageLayoutView="0" workbookViewId="0" topLeftCell="A1">
      <selection activeCell="G11" sqref="G11:H11"/>
    </sheetView>
  </sheetViews>
  <sheetFormatPr defaultColWidth="9.140625" defaultRowHeight="12.75"/>
  <cols>
    <col min="1" max="1" width="6.00390625" style="1" customWidth="1"/>
    <col min="2" max="2" width="6.140625" style="1" customWidth="1"/>
    <col min="3" max="3" width="6.421875" style="1" customWidth="1"/>
    <col min="4" max="10" width="8.7109375" style="1" customWidth="1"/>
    <col min="11" max="11" width="8.7109375" style="188" customWidth="1"/>
    <col min="12" max="12" width="8.7109375" style="155" customWidth="1"/>
    <col min="13" max="16384" width="9.140625" style="1" customWidth="1"/>
  </cols>
  <sheetData>
    <row r="1" spans="1:24" ht="30" customHeight="1">
      <c r="A1" s="251" t="s">
        <v>127</v>
      </c>
      <c r="B1" s="252"/>
      <c r="C1" s="252"/>
      <c r="D1" s="252"/>
      <c r="E1" s="252"/>
      <c r="F1" s="252"/>
      <c r="G1" s="252"/>
      <c r="H1" s="252"/>
      <c r="I1" s="200"/>
      <c r="J1" s="200"/>
      <c r="K1" s="200"/>
      <c r="L1" s="201"/>
      <c r="U1" s="8"/>
      <c r="V1" s="8"/>
      <c r="W1" s="8"/>
      <c r="X1" s="8"/>
    </row>
    <row r="2" spans="1:26" s="12" customFormat="1" ht="12.75" customHeight="1">
      <c r="A2" s="261" t="s">
        <v>51</v>
      </c>
      <c r="B2" s="262"/>
      <c r="C2" s="11"/>
      <c r="D2" s="101" t="s">
        <v>52</v>
      </c>
      <c r="E2" s="23"/>
      <c r="F2" s="10"/>
      <c r="G2" s="10"/>
      <c r="H2" s="10"/>
      <c r="I2" s="11"/>
      <c r="J2" s="272">
        <f ca="1">TODAY()</f>
        <v>42500</v>
      </c>
      <c r="K2" s="272"/>
      <c r="L2" s="28"/>
      <c r="Q2" s="12">
        <v>6</v>
      </c>
      <c r="R2" s="12" t="s">
        <v>0</v>
      </c>
      <c r="S2" s="13" t="s">
        <v>5</v>
      </c>
      <c r="T2" s="14">
        <f>+SUMPRODUCT(C25:C39,G25:G39)</f>
        <v>57.11242184882854</v>
      </c>
      <c r="U2" s="15"/>
      <c r="V2" s="14">
        <f>+SUMPRODUCT(C25:C39,I25:I39)</f>
        <v>17.856008627096063</v>
      </c>
      <c r="W2" s="16"/>
      <c r="X2" s="14">
        <f>+SUMPRODUCT(C25:C39,E25:E39)</f>
        <v>-1.7023000000000001</v>
      </c>
      <c r="Y2" s="16"/>
      <c r="Z2" s="16"/>
    </row>
    <row r="3" spans="1:26" s="12" customFormat="1" ht="12.75" customHeight="1">
      <c r="A3" s="203" t="str">
        <f>IF($K$3="Vietnam","Tên công trình:","Project:")</f>
        <v>Project:</v>
      </c>
      <c r="B3" s="11"/>
      <c r="C3" s="11"/>
      <c r="D3" s="23">
        <f>'Static part-Y'!C3</f>
        <v>0</v>
      </c>
      <c r="E3" s="23"/>
      <c r="F3" s="10"/>
      <c r="G3" s="10"/>
      <c r="H3" s="11"/>
      <c r="I3" s="271" t="str">
        <f>IF($K$3="Vietnam","Ngôn ngữ:","Language:")</f>
        <v>Language:</v>
      </c>
      <c r="J3" s="271"/>
      <c r="K3" s="57" t="s">
        <v>50</v>
      </c>
      <c r="L3" s="28"/>
      <c r="Q3" s="12">
        <v>7</v>
      </c>
      <c r="R3" s="12" t="s">
        <v>1</v>
      </c>
      <c r="S3" s="13" t="s">
        <v>6</v>
      </c>
      <c r="T3" s="14">
        <f>+SUMPRODUCT(C25:C39,G25:G39,G25:G39)</f>
        <v>9.10205730908234</v>
      </c>
      <c r="U3" s="15"/>
      <c r="V3" s="14">
        <f>+SUMPRODUCT(C25:C39,I25:I39,I25:I39)</f>
        <v>0.8866451630383986</v>
      </c>
      <c r="W3" s="16"/>
      <c r="X3" s="14">
        <f>+SUMPRODUCT(C25:C39,E25:E39,E25:E39)</f>
        <v>0.009266934</v>
      </c>
      <c r="Y3" s="16"/>
      <c r="Z3" s="16"/>
    </row>
    <row r="4" spans="1:24" s="12" customFormat="1" ht="12.75" customHeight="1">
      <c r="A4" s="203" t="str">
        <f>IF($K$3="Vietnam","Người thực hiện:","Computed by")</f>
        <v>Computed by</v>
      </c>
      <c r="B4" s="11"/>
      <c r="C4" s="11"/>
      <c r="D4" s="101">
        <f>'Static part-Y'!C4</f>
        <v>0</v>
      </c>
      <c r="E4" s="23"/>
      <c r="F4" s="10"/>
      <c r="G4" s="17"/>
      <c r="H4" s="11"/>
      <c r="I4" s="11"/>
      <c r="J4" s="11"/>
      <c r="K4" s="184"/>
      <c r="L4" s="28"/>
      <c r="Q4" s="12">
        <v>8</v>
      </c>
      <c r="R4" s="12" t="s">
        <v>2</v>
      </c>
      <c r="U4" s="18"/>
      <c r="V4" s="18"/>
      <c r="W4" s="18"/>
      <c r="X4" s="18"/>
    </row>
    <row r="5" spans="1:24" s="12" customFormat="1" ht="12.75" customHeight="1">
      <c r="A5" s="54" t="s">
        <v>9</v>
      </c>
      <c r="B5" s="23"/>
      <c r="C5" s="11"/>
      <c r="D5" s="204" t="s">
        <v>39</v>
      </c>
      <c r="E5" s="23"/>
      <c r="F5" s="10"/>
      <c r="G5" s="17"/>
      <c r="H5" s="9"/>
      <c r="I5" s="23"/>
      <c r="J5" s="23"/>
      <c r="K5" s="184"/>
      <c r="L5" s="28"/>
      <c r="Q5" s="12">
        <v>9</v>
      </c>
      <c r="U5" s="19"/>
      <c r="V5" s="19"/>
      <c r="W5" s="19"/>
      <c r="X5" s="19"/>
    </row>
    <row r="6" spans="1:24" s="12" customFormat="1" ht="6.75" customHeight="1" hidden="1">
      <c r="A6" s="54"/>
      <c r="B6" s="23"/>
      <c r="C6" s="11"/>
      <c r="D6" s="23"/>
      <c r="E6" s="23"/>
      <c r="F6" s="10"/>
      <c r="G6" s="17"/>
      <c r="H6" s="9"/>
      <c r="I6" s="23"/>
      <c r="J6" s="23"/>
      <c r="K6" s="184"/>
      <c r="L6" s="28"/>
      <c r="U6" s="19"/>
      <c r="V6" s="19"/>
      <c r="W6" s="19"/>
      <c r="X6" s="19"/>
    </row>
    <row r="7" spans="1:12" s="12" customFormat="1" ht="12.75" customHeight="1">
      <c r="A7" s="22" t="str">
        <f>IF($K$3="Vietnam","1. Số liệu tính toán","1. Input data")</f>
        <v>1. Input data</v>
      </c>
      <c r="B7" s="23"/>
      <c r="C7" s="23"/>
      <c r="D7" s="23"/>
      <c r="E7" s="23"/>
      <c r="F7" s="23"/>
      <c r="G7" s="24"/>
      <c r="H7" s="11"/>
      <c r="I7" s="23"/>
      <c r="J7" s="23"/>
      <c r="K7" s="184"/>
      <c r="L7" s="28"/>
    </row>
    <row r="8" spans="1:18" s="12" customFormat="1" ht="12.75" customHeight="1">
      <c r="A8" s="25" t="str">
        <f>'Dynamic- X1'!A8</f>
        <v>Adjustment factor of wind load according to time, b:</v>
      </c>
      <c r="B8" s="11"/>
      <c r="C8" s="11"/>
      <c r="D8" s="24"/>
      <c r="E8" s="23"/>
      <c r="F8" s="11"/>
      <c r="G8" s="26">
        <v>1</v>
      </c>
      <c r="H8" s="11"/>
      <c r="I8" s="27"/>
      <c r="J8" s="11"/>
      <c r="K8" s="184"/>
      <c r="L8" s="28"/>
      <c r="Q8" s="150" t="s">
        <v>90</v>
      </c>
      <c r="R8" s="109">
        <f>SUMPRODUCT(E25:E39,I25:I39)/SUMPRODUCT(E25:E39,E25:E39,D25:D39)</f>
        <v>-0.019326037442535825</v>
      </c>
    </row>
    <row r="9" spans="1:12" s="12" customFormat="1" ht="12.75" customHeight="1">
      <c r="A9" s="25" t="s">
        <v>96</v>
      </c>
      <c r="B9" s="11"/>
      <c r="C9" s="11"/>
      <c r="D9" s="24"/>
      <c r="E9" s="23"/>
      <c r="F9" s="11"/>
      <c r="G9" s="26">
        <v>1.2</v>
      </c>
      <c r="H9" s="11"/>
      <c r="I9" s="29"/>
      <c r="J9" s="11"/>
      <c r="K9" s="184"/>
      <c r="L9" s="28"/>
    </row>
    <row r="10" spans="1:12" s="12" customFormat="1" ht="12.75" customHeight="1">
      <c r="A10" s="25" t="s">
        <v>94</v>
      </c>
      <c r="B10" s="11"/>
      <c r="C10" s="11"/>
      <c r="D10" s="24"/>
      <c r="E10" s="23"/>
      <c r="F10" s="11"/>
      <c r="G10" s="138">
        <v>1.6</v>
      </c>
      <c r="H10" s="11"/>
      <c r="I10" s="29"/>
      <c r="J10" s="11"/>
      <c r="K10" s="184"/>
      <c r="L10" s="28"/>
    </row>
    <row r="11" spans="1:12" s="12" customFormat="1" ht="12.75" customHeight="1">
      <c r="A11" s="25" t="s">
        <v>95</v>
      </c>
      <c r="B11" s="11"/>
      <c r="C11" s="11"/>
      <c r="D11" s="24"/>
      <c r="E11" s="23"/>
      <c r="F11" s="11"/>
      <c r="G11" s="274">
        <f>SQRT($G$9*9.81*'Static part-Y'!$I$11*10^3)/(940*$F$18)</f>
        <v>0.052207869600828676</v>
      </c>
      <c r="H11" s="274">
        <f>SQRT($G$9*9.81*'[1]Start'!$G$4*10^3)/(940*$F$17)</f>
        <v>0.07720026828788318</v>
      </c>
      <c r="I11" s="24"/>
      <c r="J11" s="11"/>
      <c r="K11" s="184"/>
      <c r="L11" s="28"/>
    </row>
    <row r="12" spans="1:12" s="12" customFormat="1" ht="12.75" customHeight="1">
      <c r="A12" s="25" t="s">
        <v>93</v>
      </c>
      <c r="B12" s="11"/>
      <c r="C12" s="11"/>
      <c r="D12" s="24"/>
      <c r="E12" s="11"/>
      <c r="F12" s="11"/>
      <c r="G12" s="108">
        <f>+'Bảng tra K'!C52</f>
        <v>0.7090625</v>
      </c>
      <c r="H12" s="11"/>
      <c r="I12" s="24"/>
      <c r="J12" s="23"/>
      <c r="K12" s="184"/>
      <c r="L12" s="28"/>
    </row>
    <row r="13" spans="1:12" s="12" customFormat="1" ht="4.5" customHeight="1" hidden="1">
      <c r="A13" s="25"/>
      <c r="B13" s="11"/>
      <c r="C13" s="11"/>
      <c r="D13" s="24"/>
      <c r="E13" s="11"/>
      <c r="F13" s="11"/>
      <c r="G13" s="26"/>
      <c r="H13" s="11"/>
      <c r="I13" s="24"/>
      <c r="J13" s="23"/>
      <c r="K13" s="184"/>
      <c r="L13" s="28"/>
    </row>
    <row r="14" spans="1:12" s="12" customFormat="1" ht="12.75" customHeight="1">
      <c r="A14" s="22" t="s">
        <v>66</v>
      </c>
      <c r="B14" s="24"/>
      <c r="C14" s="11"/>
      <c r="D14" s="11"/>
      <c r="E14" s="26"/>
      <c r="F14" s="30"/>
      <c r="G14" s="24"/>
      <c r="H14" s="23"/>
      <c r="I14" s="11"/>
      <c r="J14" s="11"/>
      <c r="K14" s="184"/>
      <c r="L14" s="28"/>
    </row>
    <row r="15" spans="1:12" s="12" customFormat="1" ht="6.75" customHeight="1">
      <c r="A15" s="22"/>
      <c r="B15" s="24"/>
      <c r="C15" s="11"/>
      <c r="D15" s="11"/>
      <c r="E15" s="26"/>
      <c r="F15" s="30"/>
      <c r="G15" s="24"/>
      <c r="H15" s="23"/>
      <c r="I15" s="11"/>
      <c r="J15" s="11"/>
      <c r="K15" s="184"/>
      <c r="L15" s="28"/>
    </row>
    <row r="16" spans="1:12" s="12" customFormat="1" ht="12.75" customHeight="1">
      <c r="A16" s="31"/>
      <c r="B16" s="11"/>
      <c r="C16" s="273" t="str">
        <f>'Dynamic-Y1'!C16:D16</f>
        <v>Mode of vibration</v>
      </c>
      <c r="D16" s="273"/>
      <c r="E16" s="32" t="str">
        <f>'Dynamic-Y1'!E16</f>
        <v>period</v>
      </c>
      <c r="F16" s="33" t="str">
        <f>'Dynamic-Y1'!F16</f>
        <v>frequency</v>
      </c>
      <c r="G16" s="59"/>
      <c r="H16" s="11"/>
      <c r="I16" s="34"/>
      <c r="J16" s="11"/>
      <c r="K16" s="184"/>
      <c r="L16" s="28"/>
    </row>
    <row r="17" spans="1:12" s="12" customFormat="1" ht="12.75" customHeight="1">
      <c r="A17" s="31"/>
      <c r="B17" s="11"/>
      <c r="C17" s="273" t="str">
        <f>'Dynamic-Y1'!C17:D17</f>
        <v>Mode 1</v>
      </c>
      <c r="D17" s="273"/>
      <c r="E17" s="35">
        <f>'Dynamic- X1'!E17</f>
        <v>2.17</v>
      </c>
      <c r="F17" s="58">
        <f>1/E17</f>
        <v>0.4608294930875576</v>
      </c>
      <c r="G17" s="11"/>
      <c r="H17" s="11"/>
      <c r="I17" s="110"/>
      <c r="J17" s="110"/>
      <c r="K17" s="185"/>
      <c r="L17" s="28"/>
    </row>
    <row r="18" spans="1:12" s="12" customFormat="1" ht="12.75" customHeight="1">
      <c r="A18" s="31"/>
      <c r="B18" s="11"/>
      <c r="C18" s="275" t="str">
        <f>'Dynamic-Y1'!C18:D18</f>
        <v>Mode 2</v>
      </c>
      <c r="D18" s="275"/>
      <c r="E18" s="140">
        <f>'Dynamic- X1'!E18</f>
        <v>1.57</v>
      </c>
      <c r="F18" s="166">
        <f>1/E18</f>
        <v>0.6369426751592356</v>
      </c>
      <c r="G18" s="24" t="s">
        <v>40</v>
      </c>
      <c r="H18" s="111" t="str">
        <f>'Dynamic-Y1'!H18</f>
        <v>Tính đến cả ba dạng dao động</v>
      </c>
      <c r="I18" s="110"/>
      <c r="J18" s="110"/>
      <c r="K18" s="185"/>
      <c r="L18" s="28"/>
    </row>
    <row r="19" spans="1:12" s="12" customFormat="1" ht="12.75" customHeight="1">
      <c r="A19" s="31"/>
      <c r="B19" s="11"/>
      <c r="C19" s="273" t="str">
        <f>'Dynamic-Y1'!C19:D19</f>
        <v>Mode 3</v>
      </c>
      <c r="D19" s="273"/>
      <c r="E19" s="35">
        <f>'Dynamic- X1'!E19</f>
        <v>0.89</v>
      </c>
      <c r="F19" s="58">
        <f>1/E19</f>
        <v>1.1235955056179776</v>
      </c>
      <c r="G19" s="11"/>
      <c r="H19" s="11"/>
      <c r="I19" s="34"/>
      <c r="J19" s="11"/>
      <c r="K19" s="184"/>
      <c r="L19" s="28"/>
    </row>
    <row r="20" spans="1:12" s="12" customFormat="1" ht="12.75" customHeight="1">
      <c r="A20" s="31"/>
      <c r="B20" s="11"/>
      <c r="C20" s="273" t="str">
        <f>'Dynamic-Y1'!C20:D20</f>
        <v>Limiting frequency</v>
      </c>
      <c r="D20" s="276"/>
      <c r="E20" s="167" t="s">
        <v>10</v>
      </c>
      <c r="F20" s="58">
        <v>1.3</v>
      </c>
      <c r="G20" s="11"/>
      <c r="H20" s="48"/>
      <c r="I20" s="34"/>
      <c r="J20" s="11"/>
      <c r="K20" s="184"/>
      <c r="L20" s="28"/>
    </row>
    <row r="21" spans="1:12" s="12" customFormat="1" ht="5.25" customHeight="1">
      <c r="A21" s="31"/>
      <c r="B21" s="11"/>
      <c r="C21" s="24"/>
      <c r="D21" s="24"/>
      <c r="E21" s="57"/>
      <c r="F21" s="48"/>
      <c r="G21" s="11"/>
      <c r="H21" s="48"/>
      <c r="I21" s="34"/>
      <c r="J21" s="11"/>
      <c r="K21" s="184"/>
      <c r="L21" s="28"/>
    </row>
    <row r="22" spans="1:12" s="12" customFormat="1" ht="12.75" customHeight="1">
      <c r="A22" s="22" t="s">
        <v>111</v>
      </c>
      <c r="B22" s="23"/>
      <c r="C22" s="23"/>
      <c r="D22" s="23"/>
      <c r="E22" s="11"/>
      <c r="F22" s="36"/>
      <c r="G22" s="37"/>
      <c r="H22" s="11"/>
      <c r="I22" s="11"/>
      <c r="J22" s="11"/>
      <c r="K22" s="184"/>
      <c r="L22" s="28"/>
    </row>
    <row r="23" spans="1:12" s="12" customFormat="1" ht="5.25" customHeight="1">
      <c r="A23" s="22"/>
      <c r="B23" s="23"/>
      <c r="C23" s="23"/>
      <c r="D23" s="23"/>
      <c r="E23" s="11"/>
      <c r="F23" s="36"/>
      <c r="G23" s="37"/>
      <c r="H23" s="11"/>
      <c r="I23" s="11"/>
      <c r="J23" s="11"/>
      <c r="K23" s="184"/>
      <c r="L23" s="28"/>
    </row>
    <row r="24" spans="1:12" s="12" customFormat="1" ht="62.25" customHeight="1">
      <c r="A24" s="106" t="s">
        <v>70</v>
      </c>
      <c r="B24" s="33" t="s">
        <v>84</v>
      </c>
      <c r="C24" s="33" t="s">
        <v>71</v>
      </c>
      <c r="D24" s="107" t="s">
        <v>72</v>
      </c>
      <c r="E24" s="107" t="s">
        <v>104</v>
      </c>
      <c r="F24" s="107" t="s">
        <v>89</v>
      </c>
      <c r="G24" s="107" t="s">
        <v>92</v>
      </c>
      <c r="H24" s="107" t="s">
        <v>91</v>
      </c>
      <c r="I24" s="107" t="s">
        <v>100</v>
      </c>
      <c r="J24" s="107" t="s">
        <v>98</v>
      </c>
      <c r="K24" s="186" t="s">
        <v>99</v>
      </c>
      <c r="L24" s="119" t="s">
        <v>83</v>
      </c>
    </row>
    <row r="25" spans="1:12" s="12" customFormat="1" ht="12.75" customHeight="1">
      <c r="A25" s="38">
        <f>+'Static part-Y'!A17</f>
        <v>1</v>
      </c>
      <c r="B25" s="39">
        <f>+'Static part-Y'!B17</f>
        <v>1.2</v>
      </c>
      <c r="C25" s="40">
        <f>+'Static part-Y'!C17</f>
        <v>1.2</v>
      </c>
      <c r="D25" s="206">
        <f>'Dynamic- X1'!D25</f>
        <v>750</v>
      </c>
      <c r="E25" s="250">
        <v>0</v>
      </c>
      <c r="F25" s="133">
        <f>+'Static part-Y'!H17</f>
        <v>77.49999999999999</v>
      </c>
      <c r="G25" s="112">
        <f>+'Static part-Y'!G17</f>
        <v>0.10147073776179422</v>
      </c>
      <c r="H25" s="112">
        <f>IF(C25&gt;0,0.486*(C25/10)^-0.09,"---")</f>
        <v>0.5881795992477002</v>
      </c>
      <c r="I25" s="112">
        <f>IF(G25="---","---",G25*H25*$G$12)</f>
        <v>0.04231898985993634</v>
      </c>
      <c r="J25" s="41">
        <f>IF(G25="---","---",D25*$G$10*$R$8*E25)</f>
        <v>0</v>
      </c>
      <c r="K25" s="167">
        <f>IF(G25="---","---",F25*J25)</f>
        <v>0</v>
      </c>
      <c r="L25" s="42" t="str">
        <f>'Dynamic-Y1'!L25</f>
        <v>D</v>
      </c>
    </row>
    <row r="26" spans="1:12" s="12" customFormat="1" ht="12.75" customHeight="1">
      <c r="A26" s="38">
        <f>+'Static part-Y'!A18</f>
        <v>2</v>
      </c>
      <c r="B26" s="39">
        <f>+'Static part-Y'!B18</f>
        <v>3.8</v>
      </c>
      <c r="C26" s="40">
        <f>+'Static part-Y'!C18</f>
        <v>5</v>
      </c>
      <c r="D26" s="206">
        <f>'Dynamic- X1'!D26</f>
        <v>515</v>
      </c>
      <c r="E26" s="250">
        <v>-0.0004</v>
      </c>
      <c r="F26" s="133">
        <f>+'Static part-Y'!H18</f>
        <v>87.5</v>
      </c>
      <c r="G26" s="112">
        <f>+'Static part-Y'!G18</f>
        <v>0.12391139438738087</v>
      </c>
      <c r="H26" s="112">
        <f aca="true" t="shared" si="0" ref="H26:H39">IF(C26&gt;0,0.486*(C26/10)^-0.09,"---")</f>
        <v>0.5172839086723329</v>
      </c>
      <c r="I26" s="112">
        <f aca="true" t="shared" si="1" ref="I26:I39">IF(G26="---","---",G26*H26*$G$12)</f>
        <v>0.04544904171183114</v>
      </c>
      <c r="J26" s="41">
        <f aca="true" t="shared" si="2" ref="J26:J39">IF(G26="---","---",D26*$G$10*$R$8*E26)</f>
        <v>0.006369861941059808</v>
      </c>
      <c r="K26" s="167">
        <f aca="true" t="shared" si="3" ref="K26:K39">IF(G26="---","---",F26*J26)</f>
        <v>0.5573629198427332</v>
      </c>
      <c r="L26" s="42" t="str">
        <f>'Dynamic-Y1'!L26</f>
        <v>D</v>
      </c>
    </row>
    <row r="27" spans="1:12" s="12" customFormat="1" ht="12.75" customHeight="1">
      <c r="A27" s="38">
        <f>+'Static part-Y'!A19</f>
        <v>3</v>
      </c>
      <c r="B27" s="39">
        <f>+'Static part-Y'!B19</f>
        <v>3.2</v>
      </c>
      <c r="C27" s="40">
        <f>+'Static part-Y'!C19</f>
        <v>8.2</v>
      </c>
      <c r="D27" s="206">
        <f>'Dynamic- X1'!D27</f>
        <v>737</v>
      </c>
      <c r="E27" s="250">
        <v>-0.0008</v>
      </c>
      <c r="F27" s="133">
        <f>+'Static part-Y'!H19</f>
        <v>80</v>
      </c>
      <c r="G27" s="112">
        <f>+'Static part-Y'!G19</f>
        <v>0.13279734211520688</v>
      </c>
      <c r="H27" s="112">
        <f t="shared" si="0"/>
        <v>0.494758224744355</v>
      </c>
      <c r="I27" s="112">
        <f t="shared" si="1"/>
        <v>0.046587233671180395</v>
      </c>
      <c r="J27" s="41">
        <f t="shared" si="2"/>
        <v>0.018231410681790596</v>
      </c>
      <c r="K27" s="167">
        <f t="shared" si="3"/>
        <v>1.4585128545432477</v>
      </c>
      <c r="L27" s="42" t="str">
        <f>'Dynamic-Y1'!L27</f>
        <v>D</v>
      </c>
    </row>
    <row r="28" spans="1:12" s="12" customFormat="1" ht="12.75" customHeight="1">
      <c r="A28" s="38">
        <f>+'Static part-Y'!A20</f>
        <v>4</v>
      </c>
      <c r="B28" s="39">
        <f>+'Static part-Y'!B20</f>
        <v>3.2</v>
      </c>
      <c r="C28" s="40">
        <f>+'Static part-Y'!C20</f>
        <v>11.399999999999999</v>
      </c>
      <c r="D28" s="206">
        <f>'Dynamic- X1'!D28</f>
        <v>780</v>
      </c>
      <c r="E28" s="250">
        <v>-0.0012</v>
      </c>
      <c r="F28" s="133">
        <f>+'Static part-Y'!H20</f>
        <v>90</v>
      </c>
      <c r="G28" s="112">
        <f>+'Static part-Y'!G20</f>
        <v>0.139066371337922</v>
      </c>
      <c r="H28" s="112">
        <f t="shared" si="0"/>
        <v>0.4803024839322135</v>
      </c>
      <c r="I28" s="112">
        <f t="shared" si="1"/>
        <v>0.047361066442019914</v>
      </c>
      <c r="J28" s="41">
        <f t="shared" si="2"/>
        <v>0.028942673673941648</v>
      </c>
      <c r="K28" s="167">
        <f t="shared" si="3"/>
        <v>2.6048406306547482</v>
      </c>
      <c r="L28" s="42" t="str">
        <f>'Dynamic-Y1'!L28</f>
        <v>D</v>
      </c>
    </row>
    <row r="29" spans="1:12" s="12" customFormat="1" ht="12.75" customHeight="1">
      <c r="A29" s="38">
        <f>+'Static part-Y'!A21</f>
        <v>5</v>
      </c>
      <c r="B29" s="39">
        <f>+'Static part-Y'!B21</f>
        <v>4</v>
      </c>
      <c r="C29" s="40">
        <f>+'Static part-Y'!C21</f>
        <v>15.399999999999999</v>
      </c>
      <c r="D29" s="206">
        <f>'Dynamic- X1'!D29</f>
        <v>688</v>
      </c>
      <c r="E29" s="250">
        <v>-0.0018</v>
      </c>
      <c r="F29" s="133">
        <f>+'Static part-Y'!H21</f>
        <v>87.5</v>
      </c>
      <c r="G29" s="112">
        <f>+'Static part-Y'!G21</f>
        <v>0.14504686431439412</v>
      </c>
      <c r="H29" s="112">
        <f t="shared" si="0"/>
        <v>0.4674760915830606</v>
      </c>
      <c r="I29" s="112">
        <f t="shared" si="1"/>
        <v>0.0480786502006113</v>
      </c>
      <c r="J29" s="41">
        <f t="shared" si="2"/>
        <v>0.03829338363013818</v>
      </c>
      <c r="K29" s="167">
        <f t="shared" si="3"/>
        <v>3.3506710676370908</v>
      </c>
      <c r="L29" s="42" t="str">
        <f>'Dynamic-Y1'!L29</f>
        <v>D</v>
      </c>
    </row>
    <row r="30" spans="1:12" s="12" customFormat="1" ht="12.75" customHeight="1">
      <c r="A30" s="38">
        <f>+'Static part-Y'!A22</f>
        <v>6</v>
      </c>
      <c r="B30" s="39">
        <f>+'Static part-Y'!B22</f>
        <v>3</v>
      </c>
      <c r="C30" s="40">
        <f>+'Static part-Y'!C22</f>
        <v>18.4</v>
      </c>
      <c r="D30" s="206">
        <f>'Dynamic- X1'!D30</f>
        <v>617</v>
      </c>
      <c r="E30" s="250">
        <v>-0.0024</v>
      </c>
      <c r="F30" s="133">
        <f>+'Static part-Y'!H22</f>
        <v>75</v>
      </c>
      <c r="G30" s="112">
        <f>+'Static part-Y'!G22</f>
        <v>0.14870649545176287</v>
      </c>
      <c r="H30" s="112">
        <f t="shared" si="0"/>
        <v>0.4600474896180824</v>
      </c>
      <c r="I30" s="112">
        <f t="shared" si="1"/>
        <v>0.048508419148162944</v>
      </c>
      <c r="J30" s="41">
        <f t="shared" si="2"/>
        <v>0.045788793991851276</v>
      </c>
      <c r="K30" s="167">
        <f t="shared" si="3"/>
        <v>3.4341595493888457</v>
      </c>
      <c r="L30" s="42" t="str">
        <f>'Dynamic-Y1'!L30</f>
        <v>D</v>
      </c>
    </row>
    <row r="31" spans="1:12" s="12" customFormat="1" ht="12.75" customHeight="1">
      <c r="A31" s="38">
        <f>+'Static part-Y'!A23</f>
        <v>7</v>
      </c>
      <c r="B31" s="39">
        <f>+'Static part-Y'!B23</f>
        <v>3</v>
      </c>
      <c r="C31" s="40">
        <f>+'Static part-Y'!C23</f>
        <v>21.4</v>
      </c>
      <c r="D31" s="206">
        <f>'Dynamic- X1'!D31</f>
        <v>618</v>
      </c>
      <c r="E31" s="250">
        <v>-0.0029</v>
      </c>
      <c r="F31" s="133">
        <f>+'Static part-Y'!H23</f>
        <v>75</v>
      </c>
      <c r="G31" s="112">
        <f>+'Static part-Y'!G23</f>
        <v>0.15188447061893495</v>
      </c>
      <c r="H31" s="112">
        <f t="shared" si="0"/>
        <v>0.4538360907612247</v>
      </c>
      <c r="I31" s="112">
        <f t="shared" si="1"/>
        <v>0.04887614213056176</v>
      </c>
      <c r="J31" s="41">
        <f t="shared" si="2"/>
        <v>0.05541779888722033</v>
      </c>
      <c r="K31" s="167">
        <f t="shared" si="3"/>
        <v>4.156334916541525</v>
      </c>
      <c r="L31" s="42" t="str">
        <f>'Dynamic-Y1'!L31</f>
        <v>D</v>
      </c>
    </row>
    <row r="32" spans="1:12" s="12" customFormat="1" ht="12.75" customHeight="1">
      <c r="A32" s="38">
        <f>+'Static part-Y'!A24</f>
        <v>8</v>
      </c>
      <c r="B32" s="39">
        <f>+'Static part-Y'!B24</f>
        <v>3</v>
      </c>
      <c r="C32" s="40">
        <f>+'Static part-Y'!C24</f>
        <v>24.4</v>
      </c>
      <c r="D32" s="206">
        <f>'Dynamic- X1'!D32</f>
        <v>618</v>
      </c>
      <c r="E32" s="250">
        <v>-0.0035</v>
      </c>
      <c r="F32" s="133">
        <f>+'Static part-Y'!H24</f>
        <v>75</v>
      </c>
      <c r="G32" s="112">
        <f>+'Static part-Y'!G24</f>
        <v>0.15469989511256305</v>
      </c>
      <c r="H32" s="112">
        <f t="shared" si="0"/>
        <v>0.44850902340135607</v>
      </c>
      <c r="I32" s="112">
        <f t="shared" si="1"/>
        <v>0.04919780442263439</v>
      </c>
      <c r="J32" s="41">
        <f t="shared" si="2"/>
        <v>0.06688355038112799</v>
      </c>
      <c r="K32" s="167">
        <f t="shared" si="3"/>
        <v>5.016266278584599</v>
      </c>
      <c r="L32" s="42" t="str">
        <f>'Dynamic-Y1'!L32</f>
        <v>D</v>
      </c>
    </row>
    <row r="33" spans="1:12" s="12" customFormat="1" ht="12.75" customHeight="1">
      <c r="A33" s="38">
        <f>+'Static part-Y'!A25</f>
        <v>9</v>
      </c>
      <c r="B33" s="39">
        <f>+'Static part-Y'!B25</f>
        <v>3</v>
      </c>
      <c r="C33" s="40">
        <f>+'Static part-Y'!C25</f>
        <v>27.4</v>
      </c>
      <c r="D33" s="206">
        <f>'Dynamic- X1'!D33</f>
        <v>618</v>
      </c>
      <c r="E33" s="250">
        <v>-0.004</v>
      </c>
      <c r="F33" s="133">
        <f>+'Static part-Y'!H25</f>
        <v>75</v>
      </c>
      <c r="G33" s="112">
        <f>+'Static part-Y'!G25</f>
        <v>0.15723184926279016</v>
      </c>
      <c r="H33" s="112">
        <f t="shared" si="0"/>
        <v>0.4438525492820627</v>
      </c>
      <c r="I33" s="112">
        <f t="shared" si="1"/>
        <v>0.04948388153546853</v>
      </c>
      <c r="J33" s="41">
        <f t="shared" si="2"/>
        <v>0.0764383432927177</v>
      </c>
      <c r="K33" s="167">
        <f t="shared" si="3"/>
        <v>5.732875746953828</v>
      </c>
      <c r="L33" s="42" t="str">
        <f>'Dynamic-Y1'!L33</f>
        <v>D</v>
      </c>
    </row>
    <row r="34" spans="1:12" s="12" customFormat="1" ht="12.75" customHeight="1">
      <c r="A34" s="38">
        <f>+'Static part-Y'!A26</f>
        <v>10</v>
      </c>
      <c r="B34" s="39">
        <f>+'Static part-Y'!B26</f>
        <v>3</v>
      </c>
      <c r="C34" s="40">
        <f>+'Static part-Y'!C26</f>
        <v>30.4</v>
      </c>
      <c r="D34" s="206">
        <f>'Dynamic- X1'!D34</f>
        <v>612</v>
      </c>
      <c r="E34" s="250">
        <v>-0.0046</v>
      </c>
      <c r="F34" s="133">
        <f>+'Static part-Y'!H26</f>
        <v>75</v>
      </c>
      <c r="G34" s="112">
        <f>+'Static part-Y'!G26</f>
        <v>0.15953564968210496</v>
      </c>
      <c r="H34" s="112">
        <f t="shared" si="0"/>
        <v>0.43972144527503815</v>
      </c>
      <c r="I34" s="112">
        <f t="shared" si="1"/>
        <v>0.04974161818673833</v>
      </c>
      <c r="J34" s="41">
        <f t="shared" si="2"/>
        <v>0.08705065697316297</v>
      </c>
      <c r="K34" s="167">
        <f t="shared" si="3"/>
        <v>6.528799272987222</v>
      </c>
      <c r="L34" s="42" t="str">
        <f>'Dynamic-Y1'!L34</f>
        <v>D</v>
      </c>
    </row>
    <row r="35" spans="1:12" s="12" customFormat="1" ht="12.75" customHeight="1">
      <c r="A35" s="38">
        <f>+'Static part-Y'!A27</f>
        <v>11</v>
      </c>
      <c r="B35" s="39">
        <f>+'Static part-Y'!B27</f>
        <v>3</v>
      </c>
      <c r="C35" s="40">
        <f>+'Static part-Y'!C27</f>
        <v>33.4</v>
      </c>
      <c r="D35" s="206">
        <f>'Dynamic- X1'!D35</f>
        <v>612</v>
      </c>
      <c r="E35" s="250">
        <v>-0.0052</v>
      </c>
      <c r="F35" s="133">
        <f>+'Static part-Y'!H27</f>
        <v>75</v>
      </c>
      <c r="G35" s="112">
        <f>+'Static part-Y'!G27</f>
        <v>0.16165157817687237</v>
      </c>
      <c r="H35" s="112">
        <f t="shared" si="0"/>
        <v>0.43601264763764325</v>
      </c>
      <c r="I35" s="112">
        <f t="shared" si="1"/>
        <v>0.04997623714363966</v>
      </c>
      <c r="J35" s="41">
        <f t="shared" si="2"/>
        <v>0.09840509049140161</v>
      </c>
      <c r="K35" s="167">
        <f t="shared" si="3"/>
        <v>7.380381786855121</v>
      </c>
      <c r="L35" s="42" t="str">
        <f>'Dynamic-Y1'!L35</f>
        <v>D</v>
      </c>
    </row>
    <row r="36" spans="1:12" s="12" customFormat="1" ht="12.75" customHeight="1">
      <c r="A36" s="38">
        <f>+'Static part-Y'!A28</f>
        <v>12</v>
      </c>
      <c r="B36" s="39">
        <f>+'Static part-Y'!B28</f>
        <v>3</v>
      </c>
      <c r="C36" s="40">
        <f>+'Static part-Y'!C28</f>
        <v>36.4</v>
      </c>
      <c r="D36" s="206">
        <f>'Dynamic- X1'!D36</f>
        <v>612</v>
      </c>
      <c r="E36" s="250">
        <v>-0.0057</v>
      </c>
      <c r="F36" s="133">
        <f>+'Static part-Y'!H28</f>
        <v>75</v>
      </c>
      <c r="G36" s="112">
        <f>+'Static part-Y'!G28</f>
        <v>0.1636099218773056</v>
      </c>
      <c r="H36" s="112">
        <f t="shared" si="0"/>
        <v>0.43265043502952</v>
      </c>
      <c r="I36" s="112">
        <f t="shared" si="1"/>
        <v>0.050191629966623914</v>
      </c>
      <c r="J36" s="41">
        <f t="shared" si="2"/>
        <v>0.10786711842326717</v>
      </c>
      <c r="K36" s="167">
        <f t="shared" si="3"/>
        <v>8.090033881745038</v>
      </c>
      <c r="L36" s="42" t="str">
        <f>'Dynamic-Y1'!L36</f>
        <v>D</v>
      </c>
    </row>
    <row r="37" spans="1:12" s="12" customFormat="1" ht="12.75" customHeight="1">
      <c r="A37" s="38">
        <f>+'Static part-Y'!A29</f>
        <v>13</v>
      </c>
      <c r="B37" s="39">
        <f>+'Static part-Y'!B29</f>
        <v>3</v>
      </c>
      <c r="C37" s="40">
        <f>+'Static part-Y'!C29</f>
        <v>39.4</v>
      </c>
      <c r="D37" s="206">
        <f>'Dynamic- X1'!D37</f>
        <v>612</v>
      </c>
      <c r="E37" s="250">
        <v>-0.0062</v>
      </c>
      <c r="F37" s="133">
        <f>+'Static part-Y'!H29</f>
        <v>75</v>
      </c>
      <c r="G37" s="112">
        <f>+'Static part-Y'!G29</f>
        <v>0.1654340548572955</v>
      </c>
      <c r="H37" s="112">
        <f t="shared" si="0"/>
        <v>0.4295775821701121</v>
      </c>
      <c r="I37" s="112">
        <f t="shared" si="1"/>
        <v>0.05039077543016492</v>
      </c>
      <c r="J37" s="41">
        <f t="shared" si="2"/>
        <v>0.1173291463551327</v>
      </c>
      <c r="K37" s="167">
        <f t="shared" si="3"/>
        <v>8.799685976634953</v>
      </c>
      <c r="L37" s="42" t="str">
        <f>'Dynamic-Y1'!L37</f>
        <v>D</v>
      </c>
    </row>
    <row r="38" spans="1:12" s="12" customFormat="1" ht="12.75" customHeight="1">
      <c r="A38" s="38">
        <f>+'Static part-Y'!A30</f>
        <v>14</v>
      </c>
      <c r="B38" s="39">
        <f>+'Static part-Y'!B30</f>
        <v>3</v>
      </c>
      <c r="C38" s="40">
        <f>+'Static part-Y'!C30</f>
        <v>42.4</v>
      </c>
      <c r="D38" s="206">
        <f>'Dynamic- X1'!D38</f>
        <v>506</v>
      </c>
      <c r="E38" s="250">
        <v>-0.0066</v>
      </c>
      <c r="F38" s="133">
        <f>+'Static part-Y'!H30</f>
        <v>70</v>
      </c>
      <c r="G38" s="112">
        <f>+'Static part-Y'!G30</f>
        <v>0.16714241137818467</v>
      </c>
      <c r="H38" s="112">
        <f t="shared" si="0"/>
        <v>0.4267498156414775</v>
      </c>
      <c r="I38" s="112">
        <f t="shared" si="1"/>
        <v>0.05057600520780982</v>
      </c>
      <c r="J38" s="41">
        <f t="shared" si="2"/>
        <v>0.10326597542894823</v>
      </c>
      <c r="K38" s="167">
        <f t="shared" si="3"/>
        <v>7.228618280026376</v>
      </c>
      <c r="L38" s="42" t="str">
        <f>'Dynamic-Y1'!L38</f>
        <v>D</v>
      </c>
    </row>
    <row r="39" spans="1:12" s="12" customFormat="1" ht="12" customHeight="1">
      <c r="A39" s="38">
        <f>+'Static part-Y'!A31</f>
        <v>15</v>
      </c>
      <c r="B39" s="39">
        <f>+'Static part-Y'!B31</f>
        <v>2.6</v>
      </c>
      <c r="C39" s="40">
        <f>+'Static part-Y'!C31</f>
        <v>45</v>
      </c>
      <c r="D39" s="206">
        <f>'Dynamic- X1'!D39</f>
        <v>197</v>
      </c>
      <c r="E39" s="250">
        <v>-0.0068</v>
      </c>
      <c r="F39" s="133">
        <f>+'Static part-Y'!H31</f>
        <v>32.5</v>
      </c>
      <c r="G39" s="112">
        <f>+'Static part-Y'!G31</f>
        <v>0.1685408560632055</v>
      </c>
      <c r="H39" s="112">
        <f t="shared" si="0"/>
        <v>0.4244701385108057</v>
      </c>
      <c r="I39" s="112">
        <f t="shared" si="1"/>
        <v>0.0507267286922083</v>
      </c>
      <c r="J39" s="41">
        <f t="shared" si="2"/>
        <v>0.041422655612833585</v>
      </c>
      <c r="K39" s="167">
        <f t="shared" si="3"/>
        <v>1.3462363074170915</v>
      </c>
      <c r="L39" s="42" t="str">
        <f>'Dynamic-Y1'!L39</f>
        <v>D</v>
      </c>
    </row>
    <row r="40" spans="1:13" s="12" customFormat="1" ht="12">
      <c r="A40" s="53"/>
      <c r="B40" s="11"/>
      <c r="C40" s="55"/>
      <c r="D40" s="56"/>
      <c r="E40" s="57"/>
      <c r="F40" s="56"/>
      <c r="G40" s="57"/>
      <c r="H40" s="11"/>
      <c r="I40" s="57"/>
      <c r="J40" s="11"/>
      <c r="K40" s="57"/>
      <c r="L40" s="28"/>
      <c r="M40" s="16"/>
    </row>
    <row r="41" spans="1:13" s="12" customFormat="1" ht="12.75" customHeight="1">
      <c r="A41" s="22" t="s">
        <v>67</v>
      </c>
      <c r="B41" s="43"/>
      <c r="C41" s="43"/>
      <c r="D41" s="11"/>
      <c r="E41" s="11"/>
      <c r="F41" s="27"/>
      <c r="G41" s="44"/>
      <c r="H41" s="44"/>
      <c r="I41" s="44"/>
      <c r="J41" s="44"/>
      <c r="K41" s="184"/>
      <c r="L41" s="28"/>
      <c r="M41" s="16"/>
    </row>
    <row r="42" spans="1:12" s="12" customFormat="1" ht="12.75" customHeight="1">
      <c r="A42" s="100" t="s">
        <v>68</v>
      </c>
      <c r="B42" s="45"/>
      <c r="C42" s="23"/>
      <c r="D42" s="23"/>
      <c r="E42" s="23"/>
      <c r="F42" s="23"/>
      <c r="G42" s="101" t="s">
        <v>69</v>
      </c>
      <c r="H42" s="45"/>
      <c r="I42" s="23"/>
      <c r="J42" s="11"/>
      <c r="K42" s="184"/>
      <c r="L42" s="28"/>
    </row>
    <row r="43" spans="1:12" s="12" customFormat="1" ht="12.75" customHeight="1">
      <c r="A43" s="47"/>
      <c r="B43" s="114" t="s">
        <v>45</v>
      </c>
      <c r="C43" s="24">
        <f>+SUMPRODUCT(C25:C39,K25:K39)</f>
        <v>1980.8930924858826</v>
      </c>
      <c r="D43" s="114" t="s">
        <v>7</v>
      </c>
      <c r="E43" s="11"/>
      <c r="F43" s="11"/>
      <c r="G43" s="46"/>
      <c r="H43" s="114" t="s">
        <v>46</v>
      </c>
      <c r="I43" s="48">
        <f>SUM(K25:K39)</f>
        <v>65.68477946981243</v>
      </c>
      <c r="J43" s="132" t="s">
        <v>8</v>
      </c>
      <c r="K43" s="184"/>
      <c r="L43" s="28"/>
    </row>
    <row r="44" spans="1:12" s="12" customFormat="1" ht="12.75" customHeight="1" thickBot="1">
      <c r="A44" s="49" t="s">
        <v>64</v>
      </c>
      <c r="B44" s="50"/>
      <c r="C44" s="50"/>
      <c r="D44" s="51"/>
      <c r="E44" s="51"/>
      <c r="F44" s="51"/>
      <c r="G44" s="50"/>
      <c r="H44" s="50" t="s">
        <v>64</v>
      </c>
      <c r="I44" s="50"/>
      <c r="J44" s="50"/>
      <c r="K44" s="187"/>
      <c r="L44" s="154"/>
    </row>
  </sheetData>
  <sheetProtection formatCells="0" formatColumns="0" formatRows="0" insertColumns="0" insertRows="0" insertHyperlinks="0" deleteColumns="0" deleteRows="0" sort="0" autoFilter="0" pivotTables="0"/>
  <mergeCells count="10">
    <mergeCell ref="A1:H1"/>
    <mergeCell ref="I3:J3"/>
    <mergeCell ref="J2:K2"/>
    <mergeCell ref="C20:D20"/>
    <mergeCell ref="G11:H11"/>
    <mergeCell ref="C16:D16"/>
    <mergeCell ref="C17:D17"/>
    <mergeCell ref="C18:D18"/>
    <mergeCell ref="C19:D19"/>
    <mergeCell ref="A2:B2"/>
  </mergeCells>
  <dataValidations count="1">
    <dataValidation type="list" allowBlank="1" showInputMessage="1" showErrorMessage="1" sqref="D12:D13">
      <formula1>$Q$2:$Q$5</formula1>
    </dataValidation>
  </dataValidations>
  <printOptions verticalCentered="1"/>
  <pageMargins left="0.77" right="0.26" top="0.31" bottom="0.3" header="0.34" footer="0.3"/>
  <pageSetup blackAndWhite="1" horizontalDpi="600" verticalDpi="600" orientation="portrait" paperSize="9" scale="96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125" zoomScaleNormal="110" zoomScaleSheetLayoutView="125" zoomScalePageLayoutView="0" workbookViewId="0" topLeftCell="A1">
      <selection activeCell="G11" sqref="G11:H11"/>
    </sheetView>
  </sheetViews>
  <sheetFormatPr defaultColWidth="9.140625" defaultRowHeight="12.75"/>
  <cols>
    <col min="1" max="1" width="6.28125" style="1" customWidth="1"/>
    <col min="2" max="2" width="6.140625" style="1" customWidth="1"/>
    <col min="3" max="3" width="6.57421875" style="1" customWidth="1"/>
    <col min="4" max="10" width="8.7109375" style="1" customWidth="1"/>
    <col min="11" max="11" width="8.7109375" style="188" customWidth="1"/>
    <col min="12" max="12" width="8.7109375" style="155" customWidth="1"/>
    <col min="13" max="16384" width="9.140625" style="1" customWidth="1"/>
  </cols>
  <sheetData>
    <row r="1" spans="1:24" ht="30.75" customHeight="1">
      <c r="A1" s="251" t="s">
        <v>133</v>
      </c>
      <c r="B1" s="252"/>
      <c r="C1" s="252"/>
      <c r="D1" s="252"/>
      <c r="E1" s="252"/>
      <c r="F1" s="252"/>
      <c r="G1" s="252"/>
      <c r="H1" s="252"/>
      <c r="I1" s="200"/>
      <c r="J1" s="200"/>
      <c r="K1" s="200"/>
      <c r="L1" s="201"/>
      <c r="U1" s="8"/>
      <c r="V1" s="8"/>
      <c r="W1" s="8"/>
      <c r="X1" s="8"/>
    </row>
    <row r="2" spans="1:26" s="12" customFormat="1" ht="12.75" customHeight="1">
      <c r="A2" s="261" t="s">
        <v>51</v>
      </c>
      <c r="B2" s="262"/>
      <c r="C2" s="11"/>
      <c r="D2" s="101" t="s">
        <v>52</v>
      </c>
      <c r="E2" s="23"/>
      <c r="F2" s="10"/>
      <c r="G2" s="10"/>
      <c r="H2" s="10"/>
      <c r="I2" s="11"/>
      <c r="J2" s="272">
        <f ca="1">TODAY()</f>
        <v>42500</v>
      </c>
      <c r="K2" s="272"/>
      <c r="L2" s="28"/>
      <c r="Q2" s="12">
        <v>6</v>
      </c>
      <c r="R2" s="12" t="s">
        <v>0</v>
      </c>
      <c r="S2" s="13" t="s">
        <v>5</v>
      </c>
      <c r="T2" s="14">
        <f>+SUMPRODUCT(C25:C39,G25:G39)</f>
        <v>57.11242184882854</v>
      </c>
      <c r="U2" s="15"/>
      <c r="V2" s="14">
        <f>+SUMPRODUCT(C25:C39,I25:I39)</f>
        <v>17.856008627096063</v>
      </c>
      <c r="W2" s="16"/>
      <c r="X2" s="14">
        <f>+SUMPRODUCT(C25:C39,E25:E39)</f>
        <v>2.40444</v>
      </c>
      <c r="Y2" s="16"/>
      <c r="Z2" s="16"/>
    </row>
    <row r="3" spans="1:26" s="12" customFormat="1" ht="12.75" customHeight="1">
      <c r="A3" s="203" t="str">
        <f>IF($K$3="Vietnam","Tên công trình:","Project:")</f>
        <v>Project:</v>
      </c>
      <c r="B3" s="11"/>
      <c r="C3" s="11"/>
      <c r="D3" s="23">
        <f>'Static part-Y'!C3</f>
        <v>0</v>
      </c>
      <c r="E3" s="23"/>
      <c r="F3" s="10"/>
      <c r="G3" s="10"/>
      <c r="H3" s="11"/>
      <c r="I3" s="271" t="str">
        <f>IF($K$3="Vietnam","Ngôn ngữ:","Language:")</f>
        <v>Language:</v>
      </c>
      <c r="J3" s="271"/>
      <c r="K3" s="57" t="s">
        <v>50</v>
      </c>
      <c r="L3" s="28"/>
      <c r="Q3" s="12">
        <v>7</v>
      </c>
      <c r="R3" s="12" t="s">
        <v>1</v>
      </c>
      <c r="S3" s="13" t="s">
        <v>6</v>
      </c>
      <c r="T3" s="14">
        <f>+SUMPRODUCT(C25:C39,G25:G39,G25:G39)</f>
        <v>9.10205730908234</v>
      </c>
      <c r="U3" s="15"/>
      <c r="V3" s="14">
        <f>+SUMPRODUCT(C25:C39,I25:I39,I25:I39)</f>
        <v>0.8866451630383986</v>
      </c>
      <c r="W3" s="16"/>
      <c r="X3" s="14">
        <f>+SUMPRODUCT(C25:C39,E25:E39,E25:E39)</f>
        <v>0.023463392</v>
      </c>
      <c r="Y3" s="16"/>
      <c r="Z3" s="16"/>
    </row>
    <row r="4" spans="1:24" s="12" customFormat="1" ht="12.75" customHeight="1">
      <c r="A4" s="203" t="str">
        <f>IF($K$3="Vietnam","Người thực hiện:","Computed by")</f>
        <v>Computed by</v>
      </c>
      <c r="B4" s="11"/>
      <c r="C4" s="11"/>
      <c r="D4" s="101">
        <f>'Static part-Y'!C4</f>
        <v>0</v>
      </c>
      <c r="E4" s="23"/>
      <c r="F4" s="10"/>
      <c r="G4" s="17"/>
      <c r="H4" s="11"/>
      <c r="I4" s="11"/>
      <c r="J4" s="11"/>
      <c r="K4" s="184"/>
      <c r="L4" s="28"/>
      <c r="Q4" s="12">
        <v>8</v>
      </c>
      <c r="R4" s="12" t="s">
        <v>2</v>
      </c>
      <c r="U4" s="18"/>
      <c r="V4" s="18"/>
      <c r="W4" s="18"/>
      <c r="X4" s="18"/>
    </row>
    <row r="5" spans="1:24" s="12" customFormat="1" ht="12.75" customHeight="1">
      <c r="A5" s="54" t="s">
        <v>9</v>
      </c>
      <c r="B5" s="23"/>
      <c r="C5" s="11"/>
      <c r="D5" s="204" t="s">
        <v>39</v>
      </c>
      <c r="E5" s="23"/>
      <c r="F5" s="10"/>
      <c r="G5" s="17"/>
      <c r="H5" s="9"/>
      <c r="I5" s="23"/>
      <c r="J5" s="23"/>
      <c r="K5" s="184"/>
      <c r="L5" s="28"/>
      <c r="Q5" s="12">
        <v>9</v>
      </c>
      <c r="U5" s="19"/>
      <c r="V5" s="19"/>
      <c r="W5" s="19"/>
      <c r="X5" s="19"/>
    </row>
    <row r="6" spans="1:24" s="12" customFormat="1" ht="6.75" customHeight="1" hidden="1">
      <c r="A6" s="54"/>
      <c r="B6" s="23"/>
      <c r="C6" s="11"/>
      <c r="D6" s="23"/>
      <c r="E6" s="23"/>
      <c r="F6" s="10"/>
      <c r="G6" s="17"/>
      <c r="H6" s="9"/>
      <c r="I6" s="23"/>
      <c r="J6" s="23"/>
      <c r="K6" s="184"/>
      <c r="L6" s="28"/>
      <c r="U6" s="19"/>
      <c r="V6" s="19"/>
      <c r="W6" s="19"/>
      <c r="X6" s="19"/>
    </row>
    <row r="7" spans="1:12" s="12" customFormat="1" ht="12.75" customHeight="1">
      <c r="A7" s="22" t="str">
        <f>IF($K$3="Vietnam","1. Số liệu tính toán","1. Input data")</f>
        <v>1. Input data</v>
      </c>
      <c r="B7" s="23"/>
      <c r="C7" s="23"/>
      <c r="D7" s="23"/>
      <c r="E7" s="23"/>
      <c r="F7" s="23"/>
      <c r="G7" s="24"/>
      <c r="H7" s="11"/>
      <c r="I7" s="23"/>
      <c r="J7" s="23"/>
      <c r="K7" s="184"/>
      <c r="L7" s="28"/>
    </row>
    <row r="8" spans="1:18" s="12" customFormat="1" ht="12.75" customHeight="1">
      <c r="A8" s="25" t="str">
        <f>'Dynamic- X1'!A8</f>
        <v>Adjustment factor of wind load according to time, b:</v>
      </c>
      <c r="B8" s="11"/>
      <c r="C8" s="11"/>
      <c r="D8" s="24"/>
      <c r="E8" s="23"/>
      <c r="F8" s="11"/>
      <c r="G8" s="26">
        <v>1</v>
      </c>
      <c r="H8" s="11"/>
      <c r="I8" s="27"/>
      <c r="J8" s="11"/>
      <c r="K8" s="184"/>
      <c r="L8" s="28"/>
      <c r="Q8" s="150" t="s">
        <v>90</v>
      </c>
      <c r="R8" s="109">
        <f>SUMPRODUCT(E25:E39,I25:I39)/SUMPRODUCT(E25:E39,E25:E39,D25:D39)</f>
        <v>0.012971040709139387</v>
      </c>
    </row>
    <row r="9" spans="1:12" s="12" customFormat="1" ht="12.75" customHeight="1">
      <c r="A9" s="25" t="s">
        <v>96</v>
      </c>
      <c r="B9" s="11"/>
      <c r="C9" s="11"/>
      <c r="D9" s="24"/>
      <c r="E9" s="23"/>
      <c r="F9" s="11"/>
      <c r="G9" s="26">
        <v>1.2</v>
      </c>
      <c r="H9" s="11"/>
      <c r="I9" s="29"/>
      <c r="J9" s="11"/>
      <c r="K9" s="184"/>
      <c r="L9" s="28"/>
    </row>
    <row r="10" spans="1:12" s="12" customFormat="1" ht="12.75" customHeight="1">
      <c r="A10" s="25" t="s">
        <v>94</v>
      </c>
      <c r="B10" s="11"/>
      <c r="C10" s="11"/>
      <c r="D10" s="24"/>
      <c r="E10" s="23"/>
      <c r="F10" s="11"/>
      <c r="G10" s="138">
        <v>1.4</v>
      </c>
      <c r="H10" s="11"/>
      <c r="I10" s="29"/>
      <c r="J10" s="11"/>
      <c r="K10" s="184"/>
      <c r="L10" s="28"/>
    </row>
    <row r="11" spans="1:12" s="12" customFormat="1" ht="12.75" customHeight="1">
      <c r="A11" s="25" t="s">
        <v>95</v>
      </c>
      <c r="B11" s="11"/>
      <c r="C11" s="11"/>
      <c r="D11" s="24"/>
      <c r="E11" s="23"/>
      <c r="F11" s="11"/>
      <c r="G11" s="274">
        <f>SQRT($G$9*9.81*'Static part-Y'!$I$11*10^3)/(940*$F$19)</f>
        <v>0.02959554391384555</v>
      </c>
      <c r="H11" s="274">
        <f>SQRT($G$9*9.81*'[1]Start'!$G$4*10^3)/(940*$F$17)</f>
        <v>0.07720026828788318</v>
      </c>
      <c r="I11" s="24"/>
      <c r="J11" s="11"/>
      <c r="K11" s="184"/>
      <c r="L11" s="28"/>
    </row>
    <row r="12" spans="1:12" s="12" customFormat="1" ht="12.75" customHeight="1">
      <c r="A12" s="25" t="s">
        <v>93</v>
      </c>
      <c r="B12" s="11"/>
      <c r="C12" s="11"/>
      <c r="D12" s="24"/>
      <c r="E12" s="11"/>
      <c r="F12" s="11"/>
      <c r="G12" s="108">
        <f>+'Bảng tra K'!C52</f>
        <v>0.7090625</v>
      </c>
      <c r="H12" s="11"/>
      <c r="I12" s="24"/>
      <c r="J12" s="23"/>
      <c r="K12" s="184"/>
      <c r="L12" s="28"/>
    </row>
    <row r="13" spans="1:12" s="12" customFormat="1" ht="4.5" customHeight="1" hidden="1">
      <c r="A13" s="25"/>
      <c r="B13" s="11"/>
      <c r="C13" s="11"/>
      <c r="D13" s="24"/>
      <c r="E13" s="11"/>
      <c r="F13" s="11"/>
      <c r="G13" s="26"/>
      <c r="H13" s="11"/>
      <c r="I13" s="24"/>
      <c r="J13" s="23"/>
      <c r="K13" s="184"/>
      <c r="L13" s="28"/>
    </row>
    <row r="14" spans="1:12" s="12" customFormat="1" ht="12.75" customHeight="1">
      <c r="A14" s="22" t="s">
        <v>66</v>
      </c>
      <c r="B14" s="24"/>
      <c r="C14" s="11"/>
      <c r="D14" s="11"/>
      <c r="E14" s="26"/>
      <c r="F14" s="30"/>
      <c r="G14" s="24"/>
      <c r="H14" s="23"/>
      <c r="I14" s="11"/>
      <c r="J14" s="11"/>
      <c r="K14" s="184"/>
      <c r="L14" s="28"/>
    </row>
    <row r="15" spans="1:12" s="12" customFormat="1" ht="6.75" customHeight="1">
      <c r="A15" s="22"/>
      <c r="B15" s="24"/>
      <c r="C15" s="11"/>
      <c r="D15" s="11"/>
      <c r="E15" s="26"/>
      <c r="F15" s="30"/>
      <c r="G15" s="24"/>
      <c r="H15" s="23"/>
      <c r="I15" s="11"/>
      <c r="J15" s="11"/>
      <c r="K15" s="184"/>
      <c r="L15" s="28"/>
    </row>
    <row r="16" spans="1:12" s="12" customFormat="1" ht="12.75" customHeight="1">
      <c r="A16" s="31"/>
      <c r="B16" s="11"/>
      <c r="C16" s="273" t="str">
        <f>'Dynamic-Y1'!C16:D16</f>
        <v>Mode of vibration</v>
      </c>
      <c r="D16" s="273"/>
      <c r="E16" s="32" t="str">
        <f>'Dynamic-Y1'!E16</f>
        <v>period</v>
      </c>
      <c r="F16" s="33" t="str">
        <f>'Dynamic-Y1'!F16</f>
        <v>frequency</v>
      </c>
      <c r="G16" s="59"/>
      <c r="H16" s="11"/>
      <c r="I16" s="34"/>
      <c r="J16" s="11"/>
      <c r="K16" s="184"/>
      <c r="L16" s="28"/>
    </row>
    <row r="17" spans="1:12" s="12" customFormat="1" ht="12.75" customHeight="1">
      <c r="A17" s="31"/>
      <c r="B17" s="11"/>
      <c r="C17" s="273" t="str">
        <f>'Dynamic-Y1'!C17:D17</f>
        <v>Mode 1</v>
      </c>
      <c r="D17" s="273"/>
      <c r="E17" s="35">
        <f>'Dynamic- X1'!E17</f>
        <v>2.17</v>
      </c>
      <c r="F17" s="58">
        <f>1/E17</f>
        <v>0.4608294930875576</v>
      </c>
      <c r="G17" s="11"/>
      <c r="H17" s="11"/>
      <c r="I17" s="110"/>
      <c r="J17" s="110"/>
      <c r="K17" s="185"/>
      <c r="L17" s="28"/>
    </row>
    <row r="18" spans="1:12" s="12" customFormat="1" ht="12.75" customHeight="1">
      <c r="A18" s="31"/>
      <c r="B18" s="11"/>
      <c r="C18" s="273" t="str">
        <f>'Dynamic-Y1'!C18:D18</f>
        <v>Mode 2</v>
      </c>
      <c r="D18" s="273"/>
      <c r="E18" s="35">
        <f>'Dynamic- X1'!E18</f>
        <v>1.57</v>
      </c>
      <c r="F18" s="58">
        <f>1/E18</f>
        <v>0.6369426751592356</v>
      </c>
      <c r="G18" s="24" t="s">
        <v>40</v>
      </c>
      <c r="H18" s="111" t="str">
        <f>'Dynamic-Y1'!H18</f>
        <v>Tính đến cả ba dạng dao động</v>
      </c>
      <c r="I18" s="110"/>
      <c r="J18" s="110"/>
      <c r="K18" s="185"/>
      <c r="L18" s="28"/>
    </row>
    <row r="19" spans="1:12" s="12" customFormat="1" ht="12.75" customHeight="1">
      <c r="A19" s="31"/>
      <c r="B19" s="11"/>
      <c r="C19" s="275" t="str">
        <f>'Dynamic-Y1'!C19:D19</f>
        <v>Mode 3</v>
      </c>
      <c r="D19" s="275"/>
      <c r="E19" s="140">
        <f>'Dynamic- X1'!E19</f>
        <v>0.89</v>
      </c>
      <c r="F19" s="166">
        <f>1/E19</f>
        <v>1.1235955056179776</v>
      </c>
      <c r="G19" s="11"/>
      <c r="H19" s="11"/>
      <c r="I19" s="34"/>
      <c r="J19" s="11"/>
      <c r="K19" s="184"/>
      <c r="L19" s="28"/>
    </row>
    <row r="20" spans="1:12" s="12" customFormat="1" ht="12.75" customHeight="1">
      <c r="A20" s="31"/>
      <c r="B20" s="11"/>
      <c r="C20" s="273" t="str">
        <f>'Dynamic-Y1'!C20:D20</f>
        <v>Limiting frequency</v>
      </c>
      <c r="D20" s="276"/>
      <c r="E20" s="167" t="s">
        <v>10</v>
      </c>
      <c r="F20" s="58">
        <v>1.3</v>
      </c>
      <c r="G20" s="11"/>
      <c r="H20" s="48"/>
      <c r="I20" s="34"/>
      <c r="J20" s="11"/>
      <c r="K20" s="184"/>
      <c r="L20" s="28"/>
    </row>
    <row r="21" spans="1:12" s="12" customFormat="1" ht="5.25" customHeight="1">
      <c r="A21" s="31"/>
      <c r="B21" s="11"/>
      <c r="C21" s="24"/>
      <c r="D21" s="24"/>
      <c r="E21" s="57"/>
      <c r="F21" s="48"/>
      <c r="G21" s="11"/>
      <c r="H21" s="48"/>
      <c r="I21" s="34"/>
      <c r="J21" s="11"/>
      <c r="K21" s="184"/>
      <c r="L21" s="28"/>
    </row>
    <row r="22" spans="1:12" s="12" customFormat="1" ht="12.75" customHeight="1">
      <c r="A22" s="22" t="s">
        <v>111</v>
      </c>
      <c r="B22" s="23"/>
      <c r="C22" s="23"/>
      <c r="D22" s="23"/>
      <c r="E22" s="11"/>
      <c r="F22" s="36"/>
      <c r="G22" s="37"/>
      <c r="H22" s="11"/>
      <c r="I22" s="11"/>
      <c r="J22" s="11"/>
      <c r="K22" s="184"/>
      <c r="L22" s="28"/>
    </row>
    <row r="23" spans="1:12" s="12" customFormat="1" ht="5.25" customHeight="1">
      <c r="A23" s="22"/>
      <c r="B23" s="23"/>
      <c r="C23" s="23"/>
      <c r="D23" s="23"/>
      <c r="E23" s="11"/>
      <c r="F23" s="36"/>
      <c r="G23" s="37"/>
      <c r="H23" s="11"/>
      <c r="I23" s="11"/>
      <c r="J23" s="11"/>
      <c r="K23" s="184"/>
      <c r="L23" s="28"/>
    </row>
    <row r="24" spans="1:12" s="12" customFormat="1" ht="62.25" customHeight="1">
      <c r="A24" s="106" t="s">
        <v>70</v>
      </c>
      <c r="B24" s="33" t="s">
        <v>84</v>
      </c>
      <c r="C24" s="33" t="s">
        <v>71</v>
      </c>
      <c r="D24" s="107" t="s">
        <v>72</v>
      </c>
      <c r="E24" s="107" t="s">
        <v>104</v>
      </c>
      <c r="F24" s="107" t="s">
        <v>89</v>
      </c>
      <c r="G24" s="107" t="s">
        <v>92</v>
      </c>
      <c r="H24" s="107" t="s">
        <v>91</v>
      </c>
      <c r="I24" s="107" t="s">
        <v>100</v>
      </c>
      <c r="J24" s="107" t="s">
        <v>98</v>
      </c>
      <c r="K24" s="186" t="s">
        <v>99</v>
      </c>
      <c r="L24" s="119" t="s">
        <v>83</v>
      </c>
    </row>
    <row r="25" spans="1:12" s="12" customFormat="1" ht="12.75" customHeight="1">
      <c r="A25" s="38">
        <f>+'Static part-Y'!A17</f>
        <v>1</v>
      </c>
      <c r="B25" s="39">
        <f>+'Static part-Y'!B17</f>
        <v>1.2</v>
      </c>
      <c r="C25" s="40">
        <f>+'Static part-Y'!C17</f>
        <v>1.2</v>
      </c>
      <c r="D25" s="206">
        <f>'Dynamic- X1'!D25</f>
        <v>750</v>
      </c>
      <c r="E25" s="250">
        <v>0</v>
      </c>
      <c r="F25" s="133">
        <f>+'Static part-Y'!H17</f>
        <v>77.49999999999999</v>
      </c>
      <c r="G25" s="112">
        <f>+'Static part-Y'!G17</f>
        <v>0.10147073776179422</v>
      </c>
      <c r="H25" s="112">
        <f aca="true" t="shared" si="0" ref="H25:H39">IF(C25&gt;0,0.486*(C25/10)^-0.09,"---")</f>
        <v>0.5881795992477002</v>
      </c>
      <c r="I25" s="112">
        <f aca="true" t="shared" si="1" ref="I25:I39">IF(G25="---","---",G25*H25*$G$12)</f>
        <v>0.04231898985993634</v>
      </c>
      <c r="J25" s="41">
        <f aca="true" t="shared" si="2" ref="J25:J39">IF(G25="---","---",D25*$G$10*$R$8*E25)</f>
        <v>0</v>
      </c>
      <c r="K25" s="167">
        <f aca="true" t="shared" si="3" ref="K25:K39">IF(G25="---","---",F25*J25)</f>
        <v>0</v>
      </c>
      <c r="L25" s="42" t="str">
        <f>'Dynamic-Y1'!L25</f>
        <v>D</v>
      </c>
    </row>
    <row r="26" spans="1:12" s="12" customFormat="1" ht="12.75" customHeight="1">
      <c r="A26" s="38">
        <f>+'Static part-Y'!A18</f>
        <v>2</v>
      </c>
      <c r="B26" s="39">
        <f>+'Static part-Y'!B18</f>
        <v>3.8</v>
      </c>
      <c r="C26" s="40">
        <f>+'Static part-Y'!C18</f>
        <v>5</v>
      </c>
      <c r="D26" s="206">
        <f>'Dynamic- X1'!D26</f>
        <v>515</v>
      </c>
      <c r="E26" s="250">
        <v>0.0002</v>
      </c>
      <c r="F26" s="133">
        <f>+'Static part-Y'!H18</f>
        <v>87.5</v>
      </c>
      <c r="G26" s="112">
        <f>+'Static part-Y'!G18</f>
        <v>0.12391139438738087</v>
      </c>
      <c r="H26" s="112">
        <f t="shared" si="0"/>
        <v>0.5172839086723329</v>
      </c>
      <c r="I26" s="112">
        <f t="shared" si="1"/>
        <v>0.04544904171183114</v>
      </c>
      <c r="J26" s="41">
        <f t="shared" si="2"/>
        <v>0.0018704240702578996</v>
      </c>
      <c r="K26" s="167">
        <f t="shared" si="3"/>
        <v>0.1636621061475662</v>
      </c>
      <c r="L26" s="42" t="str">
        <f>'Dynamic-Y1'!L26</f>
        <v>D</v>
      </c>
    </row>
    <row r="27" spans="1:12" s="12" customFormat="1" ht="12.75" customHeight="1">
      <c r="A27" s="38">
        <f>+'Static part-Y'!A19</f>
        <v>3</v>
      </c>
      <c r="B27" s="39">
        <f>+'Static part-Y'!B19</f>
        <v>3.2</v>
      </c>
      <c r="C27" s="40">
        <f>+'Static part-Y'!C19</f>
        <v>8.2</v>
      </c>
      <c r="D27" s="206">
        <f>'Dynamic- X1'!D27</f>
        <v>737</v>
      </c>
      <c r="E27" s="250">
        <v>0.0004</v>
      </c>
      <c r="F27" s="133">
        <f>+'Static part-Y'!H19</f>
        <v>80</v>
      </c>
      <c r="G27" s="112">
        <f>+'Static part-Y'!G19</f>
        <v>0.13279734211520688</v>
      </c>
      <c r="H27" s="112">
        <f t="shared" si="0"/>
        <v>0.494758224744355</v>
      </c>
      <c r="I27" s="112">
        <f t="shared" si="1"/>
        <v>0.046587233671180395</v>
      </c>
      <c r="J27" s="41">
        <f t="shared" si="2"/>
        <v>0.005353407921476008</v>
      </c>
      <c r="K27" s="167">
        <f t="shared" si="3"/>
        <v>0.4282726337180806</v>
      </c>
      <c r="L27" s="42" t="str">
        <f>'Dynamic-Y1'!L27</f>
        <v>D</v>
      </c>
    </row>
    <row r="28" spans="1:12" s="12" customFormat="1" ht="12.75" customHeight="1">
      <c r="A28" s="38">
        <f>+'Static part-Y'!A20</f>
        <v>4</v>
      </c>
      <c r="B28" s="39">
        <f>+'Static part-Y'!B20</f>
        <v>3.2</v>
      </c>
      <c r="C28" s="40">
        <f>+'Static part-Y'!C20</f>
        <v>11.399999999999999</v>
      </c>
      <c r="D28" s="206">
        <f>'Dynamic- X1'!D28</f>
        <v>780</v>
      </c>
      <c r="E28" s="250">
        <v>0.0005</v>
      </c>
      <c r="F28" s="133">
        <f>+'Static part-Y'!H20</f>
        <v>90</v>
      </c>
      <c r="G28" s="112">
        <f>+'Static part-Y'!G20</f>
        <v>0.139066371337922</v>
      </c>
      <c r="H28" s="112">
        <f t="shared" si="0"/>
        <v>0.4803024839322135</v>
      </c>
      <c r="I28" s="112">
        <f t="shared" si="1"/>
        <v>0.047361066442019914</v>
      </c>
      <c r="J28" s="41">
        <f t="shared" si="2"/>
        <v>0.007082188227190106</v>
      </c>
      <c r="K28" s="167">
        <f t="shared" si="3"/>
        <v>0.6373969404471095</v>
      </c>
      <c r="L28" s="42" t="str">
        <f>'Dynamic-Y1'!L28</f>
        <v>D</v>
      </c>
    </row>
    <row r="29" spans="1:12" s="12" customFormat="1" ht="12.75" customHeight="1">
      <c r="A29" s="38">
        <f>+'Static part-Y'!A21</f>
        <v>5</v>
      </c>
      <c r="B29" s="39">
        <f>+'Static part-Y'!B21</f>
        <v>4</v>
      </c>
      <c r="C29" s="40">
        <f>+'Static part-Y'!C21</f>
        <v>15.399999999999999</v>
      </c>
      <c r="D29" s="206">
        <f>'Dynamic- X1'!D29</f>
        <v>688</v>
      </c>
      <c r="E29" s="250">
        <v>0.0007</v>
      </c>
      <c r="F29" s="133">
        <f>+'Static part-Y'!H21</f>
        <v>87.5</v>
      </c>
      <c r="G29" s="112">
        <f>+'Static part-Y'!G21</f>
        <v>0.14504686431439412</v>
      </c>
      <c r="H29" s="112">
        <f t="shared" si="0"/>
        <v>0.4674760915830606</v>
      </c>
      <c r="I29" s="112">
        <f t="shared" si="1"/>
        <v>0.0480786502006113</v>
      </c>
      <c r="J29" s="41">
        <f t="shared" si="2"/>
        <v>0.00874559448773014</v>
      </c>
      <c r="K29" s="167">
        <f t="shared" si="3"/>
        <v>0.7652395176763872</v>
      </c>
      <c r="L29" s="42" t="str">
        <f>'Dynamic-Y1'!L29</f>
        <v>D</v>
      </c>
    </row>
    <row r="30" spans="1:12" s="12" customFormat="1" ht="12.75" customHeight="1">
      <c r="A30" s="38">
        <f>+'Static part-Y'!A22</f>
        <v>6</v>
      </c>
      <c r="B30" s="39">
        <f>+'Static part-Y'!B22</f>
        <v>3</v>
      </c>
      <c r="C30" s="40">
        <f>+'Static part-Y'!C22</f>
        <v>18.4</v>
      </c>
      <c r="D30" s="206">
        <f>'Dynamic- X1'!D30</f>
        <v>617</v>
      </c>
      <c r="E30" s="250">
        <v>0.0011</v>
      </c>
      <c r="F30" s="133">
        <f>+'Static part-Y'!H22</f>
        <v>75</v>
      </c>
      <c r="G30" s="112">
        <f>+'Static part-Y'!G22</f>
        <v>0.14870649545176287</v>
      </c>
      <c r="H30" s="112">
        <f t="shared" si="0"/>
        <v>0.4600474896180824</v>
      </c>
      <c r="I30" s="112">
        <f t="shared" si="1"/>
        <v>0.048508419148162944</v>
      </c>
      <c r="J30" s="41">
        <f t="shared" si="2"/>
        <v>0.012324823461010064</v>
      </c>
      <c r="K30" s="167">
        <f t="shared" si="3"/>
        <v>0.9243617595757548</v>
      </c>
      <c r="L30" s="42" t="str">
        <f>'Dynamic-Y1'!L30</f>
        <v>D</v>
      </c>
    </row>
    <row r="31" spans="1:12" s="12" customFormat="1" ht="12.75" customHeight="1">
      <c r="A31" s="38">
        <f>+'Static part-Y'!A23</f>
        <v>7</v>
      </c>
      <c r="B31" s="39">
        <f>+'Static part-Y'!B23</f>
        <v>3</v>
      </c>
      <c r="C31" s="40">
        <f>+'Static part-Y'!C23</f>
        <v>21.4</v>
      </c>
      <c r="D31" s="206">
        <f>'Dynamic- X1'!D31</f>
        <v>618</v>
      </c>
      <c r="E31" s="250">
        <v>0.0018</v>
      </c>
      <c r="F31" s="133">
        <f>+'Static part-Y'!H23</f>
        <v>75</v>
      </c>
      <c r="G31" s="112">
        <f>+'Static part-Y'!G23</f>
        <v>0.15188447061893495</v>
      </c>
      <c r="H31" s="112">
        <f t="shared" si="0"/>
        <v>0.4538360907612247</v>
      </c>
      <c r="I31" s="112">
        <f t="shared" si="1"/>
        <v>0.04887614213056176</v>
      </c>
      <c r="J31" s="41">
        <f t="shared" si="2"/>
        <v>0.020200579958785315</v>
      </c>
      <c r="K31" s="167">
        <f t="shared" si="3"/>
        <v>1.5150434969088986</v>
      </c>
      <c r="L31" s="42" t="str">
        <f>'Dynamic-Y1'!L31</f>
        <v>D</v>
      </c>
    </row>
    <row r="32" spans="1:12" s="12" customFormat="1" ht="12.75" customHeight="1">
      <c r="A32" s="38">
        <f>+'Static part-Y'!A24</f>
        <v>8</v>
      </c>
      <c r="B32" s="39">
        <f>+'Static part-Y'!B24</f>
        <v>3</v>
      </c>
      <c r="C32" s="40">
        <f>+'Static part-Y'!C24</f>
        <v>24.4</v>
      </c>
      <c r="D32" s="206">
        <f>'Dynamic- X1'!D32</f>
        <v>618</v>
      </c>
      <c r="E32" s="250">
        <v>0.0027</v>
      </c>
      <c r="F32" s="133">
        <f>+'Static part-Y'!H24</f>
        <v>75</v>
      </c>
      <c r="G32" s="112">
        <f>+'Static part-Y'!G24</f>
        <v>0.15469989511256305</v>
      </c>
      <c r="H32" s="112">
        <f t="shared" si="0"/>
        <v>0.44850902340135607</v>
      </c>
      <c r="I32" s="112">
        <f t="shared" si="1"/>
        <v>0.04919780442263439</v>
      </c>
      <c r="J32" s="41">
        <f t="shared" si="2"/>
        <v>0.030300869938177974</v>
      </c>
      <c r="K32" s="167">
        <f t="shared" si="3"/>
        <v>2.272565245363348</v>
      </c>
      <c r="L32" s="42" t="str">
        <f>'Dynamic-Y1'!L32</f>
        <v>D</v>
      </c>
    </row>
    <row r="33" spans="1:12" s="12" customFormat="1" ht="12.75" customHeight="1">
      <c r="A33" s="38">
        <f>+'Static part-Y'!A25</f>
        <v>9</v>
      </c>
      <c r="B33" s="39">
        <f>+'Static part-Y'!B25</f>
        <v>3</v>
      </c>
      <c r="C33" s="40">
        <f>+'Static part-Y'!C25</f>
        <v>27.4</v>
      </c>
      <c r="D33" s="206">
        <f>'Dynamic- X1'!D33</f>
        <v>618</v>
      </c>
      <c r="E33" s="250">
        <v>0.0038</v>
      </c>
      <c r="F33" s="133">
        <f>+'Static part-Y'!H25</f>
        <v>75</v>
      </c>
      <c r="G33" s="112">
        <f>+'Static part-Y'!G25</f>
        <v>0.15723184926279016</v>
      </c>
      <c r="H33" s="112">
        <f t="shared" si="0"/>
        <v>0.4438525492820627</v>
      </c>
      <c r="I33" s="112">
        <f t="shared" si="1"/>
        <v>0.04948388153546853</v>
      </c>
      <c r="J33" s="41">
        <f t="shared" si="2"/>
        <v>0.04264566880188011</v>
      </c>
      <c r="K33" s="167">
        <f t="shared" si="3"/>
        <v>3.1984251601410083</v>
      </c>
      <c r="L33" s="42" t="str">
        <f>'Dynamic-Y1'!L33</f>
        <v>D</v>
      </c>
    </row>
    <row r="34" spans="1:12" s="12" customFormat="1" ht="12.75" customHeight="1">
      <c r="A34" s="38">
        <f>+'Static part-Y'!A26</f>
        <v>10</v>
      </c>
      <c r="B34" s="39">
        <f>+'Static part-Y'!B26</f>
        <v>3</v>
      </c>
      <c r="C34" s="40">
        <f>+'Static part-Y'!C26</f>
        <v>30.4</v>
      </c>
      <c r="D34" s="206">
        <f>'Dynamic- X1'!D34</f>
        <v>612</v>
      </c>
      <c r="E34" s="250">
        <v>0.0051</v>
      </c>
      <c r="F34" s="133">
        <f>+'Static part-Y'!H26</f>
        <v>75</v>
      </c>
      <c r="G34" s="112">
        <f>+'Static part-Y'!G26</f>
        <v>0.15953564968210496</v>
      </c>
      <c r="H34" s="112">
        <f t="shared" si="0"/>
        <v>0.43972144527503815</v>
      </c>
      <c r="I34" s="112">
        <f t="shared" si="1"/>
        <v>0.04974161818673833</v>
      </c>
      <c r="J34" s="41">
        <f t="shared" si="2"/>
        <v>0.0566792971659122</v>
      </c>
      <c r="K34" s="167">
        <f t="shared" si="3"/>
        <v>4.250947287443415</v>
      </c>
      <c r="L34" s="42" t="str">
        <f>'Dynamic-Y1'!L34</f>
        <v>D</v>
      </c>
    </row>
    <row r="35" spans="1:12" s="12" customFormat="1" ht="12.75" customHeight="1">
      <c r="A35" s="38">
        <f>+'Static part-Y'!A27</f>
        <v>11</v>
      </c>
      <c r="B35" s="39">
        <f>+'Static part-Y'!B27</f>
        <v>3</v>
      </c>
      <c r="C35" s="40">
        <f>+'Static part-Y'!C27</f>
        <v>33.4</v>
      </c>
      <c r="D35" s="206">
        <f>'Dynamic- X1'!D35</f>
        <v>612</v>
      </c>
      <c r="E35" s="250">
        <v>0.0064</v>
      </c>
      <c r="F35" s="133">
        <f>+'Static part-Y'!H27</f>
        <v>75</v>
      </c>
      <c r="G35" s="112">
        <f>+'Static part-Y'!G27</f>
        <v>0.16165157817687237</v>
      </c>
      <c r="H35" s="112">
        <f t="shared" si="0"/>
        <v>0.43601264763764325</v>
      </c>
      <c r="I35" s="112">
        <f t="shared" si="1"/>
        <v>0.04997623714363966</v>
      </c>
      <c r="J35" s="41">
        <f t="shared" si="2"/>
        <v>0.07112696114938001</v>
      </c>
      <c r="K35" s="167">
        <f t="shared" si="3"/>
        <v>5.334522086203501</v>
      </c>
      <c r="L35" s="42" t="str">
        <f>'Dynamic-Y1'!L35</f>
        <v>D</v>
      </c>
    </row>
    <row r="36" spans="1:12" s="12" customFormat="1" ht="12.75" customHeight="1">
      <c r="A36" s="38">
        <f>+'Static part-Y'!A28</f>
        <v>12</v>
      </c>
      <c r="B36" s="39">
        <f>+'Static part-Y'!B28</f>
        <v>3</v>
      </c>
      <c r="C36" s="40">
        <f>+'Static part-Y'!C28</f>
        <v>36.4</v>
      </c>
      <c r="D36" s="206">
        <f>'Dynamic- X1'!D36</f>
        <v>612</v>
      </c>
      <c r="E36" s="250">
        <v>0.0079</v>
      </c>
      <c r="F36" s="133">
        <f>+'Static part-Y'!H28</f>
        <v>75</v>
      </c>
      <c r="G36" s="112">
        <f>+'Static part-Y'!G28</f>
        <v>0.1636099218773056</v>
      </c>
      <c r="H36" s="112">
        <f t="shared" si="0"/>
        <v>0.43265043502952</v>
      </c>
      <c r="I36" s="112">
        <f t="shared" si="1"/>
        <v>0.050191629966623914</v>
      </c>
      <c r="J36" s="41">
        <f t="shared" si="2"/>
        <v>0.08779734266876596</v>
      </c>
      <c r="K36" s="167">
        <f t="shared" si="3"/>
        <v>6.584800700157447</v>
      </c>
      <c r="L36" s="42" t="str">
        <f>'Dynamic-Y1'!L36</f>
        <v>D</v>
      </c>
    </row>
    <row r="37" spans="1:12" s="12" customFormat="1" ht="12.75" customHeight="1">
      <c r="A37" s="38">
        <f>+'Static part-Y'!A29</f>
        <v>13</v>
      </c>
      <c r="B37" s="39">
        <f>+'Static part-Y'!B29</f>
        <v>3</v>
      </c>
      <c r="C37" s="40">
        <f>+'Static part-Y'!C29</f>
        <v>39.4</v>
      </c>
      <c r="D37" s="206">
        <f>'Dynamic- X1'!D37</f>
        <v>612</v>
      </c>
      <c r="E37" s="250">
        <v>0.0093</v>
      </c>
      <c r="F37" s="133">
        <f>+'Static part-Y'!H29</f>
        <v>75</v>
      </c>
      <c r="G37" s="112">
        <f>+'Static part-Y'!G29</f>
        <v>0.1654340548572955</v>
      </c>
      <c r="H37" s="112">
        <f t="shared" si="0"/>
        <v>0.4295775821701121</v>
      </c>
      <c r="I37" s="112">
        <f t="shared" si="1"/>
        <v>0.05039077543016492</v>
      </c>
      <c r="J37" s="41">
        <f t="shared" si="2"/>
        <v>0.10335636542019282</v>
      </c>
      <c r="K37" s="167">
        <f t="shared" si="3"/>
        <v>7.751727406514461</v>
      </c>
      <c r="L37" s="42" t="str">
        <f>'Dynamic-Y1'!L37</f>
        <v>D</v>
      </c>
    </row>
    <row r="38" spans="1:12" s="12" customFormat="1" ht="12.75" customHeight="1">
      <c r="A38" s="38">
        <f>+'Static part-Y'!A30</f>
        <v>14</v>
      </c>
      <c r="B38" s="39">
        <f>+'Static part-Y'!B30</f>
        <v>3</v>
      </c>
      <c r="C38" s="40">
        <f>+'Static part-Y'!C30</f>
        <v>42.4</v>
      </c>
      <c r="D38" s="206">
        <f>'Dynamic- X1'!D38</f>
        <v>506</v>
      </c>
      <c r="E38" s="250">
        <v>0.0111</v>
      </c>
      <c r="F38" s="133">
        <f>+'Static part-Y'!H30</f>
        <v>70</v>
      </c>
      <c r="G38" s="112">
        <f>+'Static part-Y'!G30</f>
        <v>0.16714241137818467</v>
      </c>
      <c r="H38" s="112">
        <f t="shared" si="0"/>
        <v>0.4267498156414775</v>
      </c>
      <c r="I38" s="112">
        <f t="shared" si="1"/>
        <v>0.05057600520780982</v>
      </c>
      <c r="J38" s="41">
        <f t="shared" si="2"/>
        <v>0.1019944061457332</v>
      </c>
      <c r="K38" s="167">
        <f t="shared" si="3"/>
        <v>7.139608430201324</v>
      </c>
      <c r="L38" s="42" t="str">
        <f>'Dynamic-Y1'!L38</f>
        <v>D</v>
      </c>
    </row>
    <row r="39" spans="1:12" s="12" customFormat="1" ht="12" customHeight="1">
      <c r="A39" s="38">
        <f>+'Static part-Y'!A31</f>
        <v>15</v>
      </c>
      <c r="B39" s="39">
        <f>+'Static part-Y'!B31</f>
        <v>2.6</v>
      </c>
      <c r="C39" s="40">
        <f>+'Static part-Y'!C31</f>
        <v>45</v>
      </c>
      <c r="D39" s="206">
        <f>'Dynamic- X1'!D39</f>
        <v>197</v>
      </c>
      <c r="E39" s="250">
        <v>0.0147</v>
      </c>
      <c r="F39" s="133">
        <f>+'Static part-Y'!H31</f>
        <v>32.5</v>
      </c>
      <c r="G39" s="112">
        <f>+'Static part-Y'!G31</f>
        <v>0.1685408560632055</v>
      </c>
      <c r="H39" s="112">
        <f t="shared" si="0"/>
        <v>0.4244701385108057</v>
      </c>
      <c r="I39" s="112">
        <f t="shared" si="1"/>
        <v>0.0507267286922083</v>
      </c>
      <c r="J39" s="41">
        <f t="shared" si="2"/>
        <v>0.05258797150543545</v>
      </c>
      <c r="K39" s="167">
        <f t="shared" si="3"/>
        <v>1.7091090739266521</v>
      </c>
      <c r="L39" s="42" t="str">
        <f>'Dynamic-Y1'!L39</f>
        <v>D</v>
      </c>
    </row>
    <row r="40" spans="1:13" s="12" customFormat="1" ht="12">
      <c r="A40" s="53"/>
      <c r="B40" s="11"/>
      <c r="C40" s="55"/>
      <c r="D40" s="56"/>
      <c r="E40" s="57"/>
      <c r="F40" s="56"/>
      <c r="G40" s="57"/>
      <c r="H40" s="11"/>
      <c r="I40" s="57"/>
      <c r="J40" s="11"/>
      <c r="K40" s="57"/>
      <c r="L40" s="28"/>
      <c r="M40" s="16"/>
    </row>
    <row r="41" spans="1:13" s="12" customFormat="1" ht="12.75" customHeight="1">
      <c r="A41" s="22" t="s">
        <v>67</v>
      </c>
      <c r="B41" s="43"/>
      <c r="C41" s="43"/>
      <c r="D41" s="11"/>
      <c r="E41" s="11"/>
      <c r="F41" s="27"/>
      <c r="G41" s="44"/>
      <c r="H41" s="44"/>
      <c r="I41" s="44"/>
      <c r="J41" s="44"/>
      <c r="K41" s="184"/>
      <c r="L41" s="28"/>
      <c r="M41" s="16"/>
    </row>
    <row r="42" spans="1:12" s="12" customFormat="1" ht="12.75" customHeight="1">
      <c r="A42" s="100" t="s">
        <v>68</v>
      </c>
      <c r="B42" s="45"/>
      <c r="C42" s="23"/>
      <c r="D42" s="23"/>
      <c r="E42" s="23"/>
      <c r="F42" s="23"/>
      <c r="G42" s="101" t="s">
        <v>69</v>
      </c>
      <c r="H42" s="45"/>
      <c r="I42" s="23"/>
      <c r="J42" s="11"/>
      <c r="K42" s="184"/>
      <c r="L42" s="28"/>
    </row>
    <row r="43" spans="1:12" s="12" customFormat="1" ht="12.75" customHeight="1">
      <c r="A43" s="47"/>
      <c r="B43" s="114" t="s">
        <v>45</v>
      </c>
      <c r="C43" s="24">
        <f>+SUMPRODUCT(C25:C39,K25:K39)</f>
        <v>1448.0347346924261</v>
      </c>
      <c r="D43" s="114" t="s">
        <v>7</v>
      </c>
      <c r="E43" s="11"/>
      <c r="F43" s="11"/>
      <c r="G43" s="46"/>
      <c r="H43" s="114" t="s">
        <v>46</v>
      </c>
      <c r="I43" s="48">
        <f>SUM(K25:K39)</f>
        <v>42.67568184442496</v>
      </c>
      <c r="J43" s="132" t="s">
        <v>8</v>
      </c>
      <c r="K43" s="184"/>
      <c r="L43" s="28"/>
    </row>
    <row r="44" spans="1:12" s="12" customFormat="1" ht="12.75" customHeight="1" thickBot="1">
      <c r="A44" s="49" t="s">
        <v>64</v>
      </c>
      <c r="B44" s="50"/>
      <c r="C44" s="50"/>
      <c r="D44" s="51"/>
      <c r="E44" s="51"/>
      <c r="F44" s="51"/>
      <c r="G44" s="50"/>
      <c r="H44" s="50" t="s">
        <v>64</v>
      </c>
      <c r="I44" s="50"/>
      <c r="J44" s="50"/>
      <c r="K44" s="187"/>
      <c r="L44" s="154"/>
    </row>
  </sheetData>
  <sheetProtection formatCells="0" formatColumns="0" formatRows="0" insertColumns="0" insertRows="0" insertHyperlinks="0" deleteColumns="0" deleteRows="0" sort="0" autoFilter="0" pivotTables="0"/>
  <mergeCells count="10">
    <mergeCell ref="A1:H1"/>
    <mergeCell ref="I3:J3"/>
    <mergeCell ref="J2:K2"/>
    <mergeCell ref="C20:D20"/>
    <mergeCell ref="G11:H11"/>
    <mergeCell ref="C16:D16"/>
    <mergeCell ref="C17:D17"/>
    <mergeCell ref="C18:D18"/>
    <mergeCell ref="C19:D19"/>
    <mergeCell ref="A2:B2"/>
  </mergeCells>
  <dataValidations count="1">
    <dataValidation type="list" allowBlank="1" showInputMessage="1" showErrorMessage="1" sqref="D12:D13">
      <formula1>$Q$2:$Q$5</formula1>
    </dataValidation>
  </dataValidations>
  <printOptions verticalCentered="1"/>
  <pageMargins left="0.77" right="0.26" top="0.31" bottom="0.3" header="0.34" footer="0.3"/>
  <pageSetup blackAndWhite="1" horizontalDpi="600" verticalDpi="600" orientation="portrait" paperSize="9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VIEN N.C KIEN TRUC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NGOC LONG</dc:creator>
  <cp:keywords/>
  <dc:description/>
  <cp:lastModifiedBy>Bùi Kiến Tín</cp:lastModifiedBy>
  <cp:lastPrinted>2011-11-10T02:43:12Z</cp:lastPrinted>
  <dcterms:created xsi:type="dcterms:W3CDTF">2001-11-15T21:21:33Z</dcterms:created>
  <dcterms:modified xsi:type="dcterms:W3CDTF">2016-05-10T00:54:17Z</dcterms:modified>
  <cp:category/>
  <cp:version/>
  <cp:contentType/>
  <cp:contentStatus/>
</cp:coreProperties>
</file>